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1280" windowHeight="6930" tabRatio="751" activeTab="0"/>
  </bookViews>
  <sheets>
    <sheet name="REFORMA" sheetId="1" r:id="rId1"/>
    <sheet name="CRONOGRAMA REFORMA" sheetId="2" r:id="rId2"/>
    <sheet name="Memorial de Cálculo Reforma" sheetId="3" state="hidden" r:id="rId3"/>
    <sheet name="CRONOGRAMA CONSOLIDADO" sheetId="4" state="hidden" r:id="rId4"/>
    <sheet name="BDI" sheetId="5" r:id="rId5"/>
    <sheet name="MEMORIAL DE CALCULO" sheetId="6" r:id="rId6"/>
    <sheet name="Plan1" sheetId="7" r:id="rId7"/>
    <sheet name="Memória  de Cálculo da Ampliaçã" sheetId="8" state="hidden" r:id="rId8"/>
  </sheets>
  <externalReferences>
    <externalReference r:id="rId11"/>
    <externalReference r:id="rId12"/>
  </externalReferences>
  <definedNames>
    <definedName name="_xlnm.Print_Area" localSheetId="4">'BDI'!$B$3:$G$46</definedName>
    <definedName name="_xlnm.Print_Area" localSheetId="1">'CRONOGRAMA REFORMA'!$A$2:$K$32</definedName>
    <definedName name="_xlnm.Print_Area" localSheetId="2">'Memorial de Cálculo Reforma'!$A$1:$G$297</definedName>
    <definedName name="_xlnm.Print_Area" localSheetId="0">'REFORMA'!$B$2:$L$77</definedName>
    <definedName name="_xlnm.Print_Titles" localSheetId="0">'REFORMA'!$14:$15</definedName>
  </definedNames>
  <calcPr fullCalcOnLoad="1"/>
</workbook>
</file>

<file path=xl/sharedStrings.xml><?xml version="1.0" encoding="utf-8"?>
<sst xmlns="http://schemas.openxmlformats.org/spreadsheetml/2006/main" count="1442" uniqueCount="557">
  <si>
    <t>m2</t>
  </si>
  <si>
    <t>Item</t>
  </si>
  <si>
    <t>Discriminação</t>
  </si>
  <si>
    <t>Unidade</t>
  </si>
  <si>
    <t>Quantidade</t>
  </si>
  <si>
    <t>1.00</t>
  </si>
  <si>
    <t>1.01</t>
  </si>
  <si>
    <t>2.00</t>
  </si>
  <si>
    <t>2.01</t>
  </si>
  <si>
    <t>3.00</t>
  </si>
  <si>
    <t>3.01</t>
  </si>
  <si>
    <t>4.00</t>
  </si>
  <si>
    <t>5.00</t>
  </si>
  <si>
    <t>5.01</t>
  </si>
  <si>
    <t>5.02</t>
  </si>
  <si>
    <t>5.03</t>
  </si>
  <si>
    <t>6.00</t>
  </si>
  <si>
    <t>7.00</t>
  </si>
  <si>
    <t>PAVIMENTAÇÃO</t>
  </si>
  <si>
    <t>7.01</t>
  </si>
  <si>
    <t>7.02</t>
  </si>
  <si>
    <t>8.00</t>
  </si>
  <si>
    <t>ESQUADRIAS</t>
  </si>
  <si>
    <t>8.01</t>
  </si>
  <si>
    <t>REVESTIMENTO</t>
  </si>
  <si>
    <t>PINTURA</t>
  </si>
  <si>
    <t>DIVERSOS</t>
  </si>
  <si>
    <t>Custo Unitário</t>
  </si>
  <si>
    <t>7.03</t>
  </si>
  <si>
    <t>7.04</t>
  </si>
  <si>
    <t>7.05</t>
  </si>
  <si>
    <t>TOTAL</t>
  </si>
  <si>
    <t>ITEM</t>
  </si>
  <si>
    <t>DISCRIMINAÇÃO</t>
  </si>
  <si>
    <t>m3</t>
  </si>
  <si>
    <t>INFRA-ESTRUTURA</t>
  </si>
  <si>
    <t>COBERTURA</t>
  </si>
  <si>
    <t>2.02</t>
  </si>
  <si>
    <t>2.03</t>
  </si>
  <si>
    <t>9.00</t>
  </si>
  <si>
    <t>9.01</t>
  </si>
  <si>
    <t>11.01</t>
  </si>
  <si>
    <t>11.02</t>
  </si>
  <si>
    <t>11.03</t>
  </si>
  <si>
    <t>% DO ITEM</t>
  </si>
  <si>
    <t>VALOR DO ITEM</t>
  </si>
  <si>
    <t>30 DIAS</t>
  </si>
  <si>
    <t>60 DIAS</t>
  </si>
  <si>
    <t>%</t>
  </si>
  <si>
    <t>VALOR</t>
  </si>
  <si>
    <t>TOTAL DO PERÍODO (R$)</t>
  </si>
  <si>
    <t>TOTAL DO PERÍODO (%)</t>
  </si>
  <si>
    <t>90 DIAS</t>
  </si>
  <si>
    <t>m</t>
  </si>
  <si>
    <t>8.02</t>
  </si>
  <si>
    <t>12.00</t>
  </si>
  <si>
    <t>12.01</t>
  </si>
  <si>
    <t>COORDENAÇÃO DE INFRA-ESTRUTURA EM SAÚDE</t>
  </si>
  <si>
    <t>INSTALAÇÕES  HIDRO-SANITÁRIAS</t>
  </si>
  <si>
    <t>% Serviço</t>
  </si>
  <si>
    <t>6.01</t>
  </si>
  <si>
    <t>6.02</t>
  </si>
  <si>
    <t>INSTALAÇÃO ELÉTRICA</t>
  </si>
  <si>
    <t>6.03</t>
  </si>
  <si>
    <t>7.06</t>
  </si>
  <si>
    <t>7.07</t>
  </si>
  <si>
    <t>6.04</t>
  </si>
  <si>
    <t>Referência</t>
  </si>
  <si>
    <t>Código</t>
  </si>
  <si>
    <t>SINAPI</t>
  </si>
  <si>
    <t>Preço Unitário Com BDI</t>
  </si>
  <si>
    <t>Preço Total</t>
  </si>
  <si>
    <t>Preço Total do Item</t>
  </si>
  <si>
    <t>SEINFRA</t>
  </si>
  <si>
    <t>GABINETE DO SECRETÁRIO</t>
  </si>
  <si>
    <t>NÚCLEO DE INFRA-ESTRUTURA EM SAÚDE - NIS</t>
  </si>
  <si>
    <t>MOVIMENTO DE TERRA</t>
  </si>
  <si>
    <t>ORSE</t>
  </si>
  <si>
    <t>4.01</t>
  </si>
  <si>
    <t>5. PIS</t>
  </si>
  <si>
    <t>4. ISSQN</t>
  </si>
  <si>
    <t>Percentuais (%)</t>
  </si>
  <si>
    <t>10.00</t>
  </si>
  <si>
    <t>11.00</t>
  </si>
  <si>
    <t>10.01</t>
  </si>
  <si>
    <t>Data Base: Junho de 2014/Com Desoneração</t>
  </si>
  <si>
    <t>COMPOSIÇÃO DO BDI</t>
  </si>
  <si>
    <t>DESCRIÇÃO</t>
  </si>
  <si>
    <t>1. LUCRO</t>
  </si>
  <si>
    <t>2. ADMINISTRAÇÃO CENTRAL</t>
  </si>
  <si>
    <t>3. DESPESAS FINANCEIRAS</t>
  </si>
  <si>
    <t>6. CPRB (2% SOBRE FATURAMENTO)</t>
  </si>
  <si>
    <t>7. COFINS</t>
  </si>
  <si>
    <t>8. GARANTIAS, SEGUROS E RISCOS</t>
  </si>
  <si>
    <t>X(%)=</t>
  </si>
  <si>
    <t>Y(%)=</t>
  </si>
  <si>
    <t>Z(%)=</t>
  </si>
  <si>
    <t>l(%)=</t>
  </si>
  <si>
    <t>Aplicando na fórmula acima, temos:</t>
  </si>
  <si>
    <t>BDI(%)=</t>
  </si>
  <si>
    <t xml:space="preserve">TOTAL </t>
  </si>
  <si>
    <t>1.02</t>
  </si>
  <si>
    <t>1.03</t>
  </si>
  <si>
    <t>1.04</t>
  </si>
  <si>
    <t>1.05</t>
  </si>
  <si>
    <t>1.06</t>
  </si>
  <si>
    <t>5.04</t>
  </si>
  <si>
    <t>7.08</t>
  </si>
  <si>
    <t>7.09</t>
  </si>
  <si>
    <t>7.10</t>
  </si>
  <si>
    <t>10.03</t>
  </si>
  <si>
    <t>SERVIÇOS PRELIMINARES</t>
  </si>
  <si>
    <t>2.04</t>
  </si>
  <si>
    <t>2.05</t>
  </si>
  <si>
    <t>2.06</t>
  </si>
  <si>
    <t>2.07</t>
  </si>
  <si>
    <t>3.02</t>
  </si>
  <si>
    <t>3.03</t>
  </si>
  <si>
    <t>4.02</t>
  </si>
  <si>
    <t>4.05</t>
  </si>
  <si>
    <t>SUPERESTRUTURA</t>
  </si>
  <si>
    <t>8.04</t>
  </si>
  <si>
    <t>8.05</t>
  </si>
  <si>
    <t>8.06</t>
  </si>
  <si>
    <t>8.07</t>
  </si>
  <si>
    <t>9.02</t>
  </si>
  <si>
    <t>9.03</t>
  </si>
  <si>
    <t>11.04</t>
  </si>
  <si>
    <t>12.02</t>
  </si>
  <si>
    <t>12.03</t>
  </si>
  <si>
    <t>12.04</t>
  </si>
  <si>
    <t>13.00</t>
  </si>
  <si>
    <t>MARQUISE</t>
  </si>
  <si>
    <t>SUPERINTENDÊNCIA DE GESTÃO ADMINISTRATIVA - SUGAD</t>
  </si>
  <si>
    <t>Núcleo de Execução de Projetos de Engenharia - NEPE</t>
  </si>
  <si>
    <t>Coordenação de Infra-Estrutura em Saúde</t>
  </si>
  <si>
    <t>Data base: 27/02/2012</t>
  </si>
  <si>
    <t>Área Total: 159,05 m²</t>
  </si>
  <si>
    <t>Tipo: Construção</t>
  </si>
  <si>
    <r>
      <t xml:space="preserve">Instalação barracão, em madeira, inclusive instalações hidro-sanitárias e elétricas: 2,50*8,00 = </t>
    </r>
    <r>
      <rPr>
        <b/>
        <sz val="11"/>
        <rFont val="Calibri"/>
        <family val="2"/>
      </rPr>
      <t>20,00 m²</t>
    </r>
  </si>
  <si>
    <r>
      <t xml:space="preserve">Placa da Obra: 3,00*1,50=  </t>
    </r>
    <r>
      <rPr>
        <b/>
        <sz val="11"/>
        <rFont val="Calibri"/>
        <family val="2"/>
      </rPr>
      <t>4,50m2</t>
    </r>
  </si>
  <si>
    <t xml:space="preserve">Escavação manual de valas </t>
  </si>
  <si>
    <t xml:space="preserve">DIMENSÃO </t>
  </si>
  <si>
    <t>TOTAL PARCIAL</t>
  </si>
  <si>
    <t>Horizontal (leitura na planta baixa)</t>
  </si>
  <si>
    <t>Vertical (leitura na planta baixa)</t>
  </si>
  <si>
    <t>TOTAL - PERÍMETRO (SOMATORIO)</t>
  </si>
  <si>
    <t>TOTAL DA ESCAÇÃO</t>
  </si>
  <si>
    <t xml:space="preserve">Fundação em Pedra Argamassada: </t>
  </si>
  <si>
    <t xml:space="preserve">Alvenaria de Embassamento Tijolo Cerâmico e=20 cm; </t>
  </si>
  <si>
    <t>Lastro de Impermeabilização e=7,0 cm:</t>
  </si>
  <si>
    <t>CONSUTÓRIO</t>
  </si>
  <si>
    <t>ESPERA</t>
  </si>
  <si>
    <t>HALL</t>
  </si>
  <si>
    <t>WC.</t>
  </si>
  <si>
    <t>DML</t>
  </si>
  <si>
    <t>DME</t>
  </si>
  <si>
    <t>ELETROTERAPIA</t>
  </si>
  <si>
    <t>CINESIOTERAPIA</t>
  </si>
  <si>
    <t>SAME</t>
  </si>
  <si>
    <t>Aterro Apiloado com Aquisição de Material h=0,20m</t>
  </si>
  <si>
    <t xml:space="preserve">Aterro Apiloado sem Aquisição de Material (h=0,10 cm): </t>
  </si>
  <si>
    <t>2.08</t>
  </si>
  <si>
    <t>Regularização e Compactação Manual de Valas:</t>
  </si>
  <si>
    <t>2.09</t>
  </si>
  <si>
    <t>Bota-Fora:</t>
  </si>
  <si>
    <t xml:space="preserve">Volume de escavação - Aterro apiloado sem aquisição de material  </t>
  </si>
  <si>
    <t>TOTAL -  (SOMATORIO)</t>
  </si>
  <si>
    <t>Concreto estrutural, pilares,cintas(inferior/superior), vigas e vergas:</t>
  </si>
  <si>
    <t>Pilares</t>
  </si>
  <si>
    <t>Cinta superior/inferior</t>
  </si>
  <si>
    <t>Vigas</t>
  </si>
  <si>
    <t>3.04</t>
  </si>
  <si>
    <t xml:space="preserve">Laje pré-moldada p/forro e=10cm, inc. capeamento de 4cm: </t>
  </si>
  <si>
    <t>Igual área de construção</t>
  </si>
  <si>
    <t>4.06</t>
  </si>
  <si>
    <t>4.07</t>
  </si>
  <si>
    <t>INSTALAÇÕES DE COMBATE A INCÊNDIO</t>
  </si>
  <si>
    <t>5.05</t>
  </si>
  <si>
    <t>6.05</t>
  </si>
  <si>
    <t>6.06</t>
  </si>
  <si>
    <t>6.07</t>
  </si>
  <si>
    <t>6.08</t>
  </si>
  <si>
    <t>6.09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</si>
  <si>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</si>
  <si>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</si>
  <si>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</si>
  <si>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</si>
  <si>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</si>
  <si>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</si>
  <si>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</si>
  <si>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</si>
  <si>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</si>
  <si>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</si>
  <si>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</si>
  <si>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INSTALAÇÕES HIDRO-SANITÁRIAS</t>
  </si>
  <si>
    <t>7.11</t>
  </si>
  <si>
    <t>7.12</t>
  </si>
  <si>
    <t>7.13</t>
  </si>
  <si>
    <t>7.14</t>
  </si>
  <si>
    <t>7.15</t>
  </si>
  <si>
    <t>7.16</t>
  </si>
  <si>
    <t>7.17</t>
  </si>
  <si>
    <t>7.18</t>
  </si>
  <si>
    <t>Chapisco de aderência parede:</t>
  </si>
  <si>
    <t>Área de parede (2x 312,73)</t>
  </si>
  <si>
    <t>Chapisco de aderência forro: = área de piso</t>
  </si>
  <si>
    <t xml:space="preserve">Emboço em parede: </t>
  </si>
  <si>
    <t>WC. (2,00+2,00+2,20+2,20)x3</t>
  </si>
  <si>
    <t>DML(2+2,30+1,10+1,41+1,39)x3</t>
  </si>
  <si>
    <t>BALCÃO LADO EXTERNO (2,87X0,75)</t>
  </si>
  <si>
    <t xml:space="preserve">Reboco em parede </t>
  </si>
  <si>
    <t>Chapisco parede - emboço (625,46-75,00)</t>
  </si>
  <si>
    <t>Reboco em tetos:  = área de piso</t>
  </si>
  <si>
    <t xml:space="preserve">Revestimento cerâmico 20x20cm, cor a definir, tipo A: </t>
  </si>
  <si>
    <t xml:space="preserve">Regularização de base para piso de cerâmica: </t>
  </si>
  <si>
    <t>ÁREA DE PISO</t>
  </si>
  <si>
    <t xml:space="preserve">Piso cerâmico PEI 5, 30x30cm a 45x45cm, tipo A : </t>
  </si>
  <si>
    <t>Rodapé H=8cm, sem ressalto com o reboco:</t>
  </si>
  <si>
    <t>AMBIENTE</t>
  </si>
  <si>
    <t>PERÍMETRO</t>
  </si>
  <si>
    <t>ESPERA/HALL</t>
  </si>
  <si>
    <t>10.0</t>
  </si>
  <si>
    <t>10.04</t>
  </si>
  <si>
    <t xml:space="preserve">Esquadria de alumínio  tipo maxim-ar com vidro e ferragens(completa)= </t>
  </si>
  <si>
    <t>dimensão</t>
  </si>
  <si>
    <t>quant</t>
  </si>
  <si>
    <t>área (m2)</t>
  </si>
  <si>
    <t>150X50</t>
  </si>
  <si>
    <t>250x110</t>
  </si>
  <si>
    <t>200x110</t>
  </si>
  <si>
    <t>320x110</t>
  </si>
  <si>
    <t>150x70</t>
  </si>
  <si>
    <t xml:space="preserve">Látex PVA em teto 02 demãos </t>
  </si>
  <si>
    <t>IGUAL A. PISO</t>
  </si>
  <si>
    <t xml:space="preserve">Látex acrílica, com emassamento, semi-brilho, duas demãos paredes internas: </t>
  </si>
  <si>
    <t>ALTURA</t>
  </si>
  <si>
    <t>TOTAL (113,36X3)</t>
  </si>
  <si>
    <t>Esmalte brilhante em esquadria de madeira, com fundo nivelador, duas demãos</t>
  </si>
  <si>
    <t>PORTA (DIMENSÃO)</t>
  </si>
  <si>
    <t>QUANT</t>
  </si>
  <si>
    <t>ÁREA</t>
  </si>
  <si>
    <t>P2-(0,80X2,10X5,00)*2,5</t>
  </si>
  <si>
    <t>P3-(1,20X2,10X1,00)*2,5</t>
  </si>
  <si>
    <t xml:space="preserve">Esmalte em esquadrias de ferro - brilhante </t>
  </si>
  <si>
    <t>grade existente da fachada (30,63x0,80x2)</t>
  </si>
  <si>
    <t>11.05</t>
  </si>
  <si>
    <t xml:space="preserve">Textura acrílica, paredes externas: </t>
  </si>
  <si>
    <t>Parede da fachada principal</t>
  </si>
  <si>
    <t>(10,18+0,15+0,15+0,70+0,70)*5 (frente)</t>
  </si>
  <si>
    <t>((5,10x1,90)/2)x2 - atrás</t>
  </si>
  <si>
    <t>Parede fachada posterior (inc. oitão)</t>
  </si>
  <si>
    <t>((4,39*1,3)/2)+(8,78*3,1)</t>
  </si>
  <si>
    <t>Fachadas laterais</t>
  </si>
  <si>
    <t>(18,06+18,06)*3,10</t>
  </si>
  <si>
    <t>11.06</t>
  </si>
  <si>
    <t>Hidracor em muro:</t>
  </si>
  <si>
    <t>frente</t>
  </si>
  <si>
    <t>(37,65x1x2)</t>
  </si>
  <si>
    <t>lateral</t>
  </si>
  <si>
    <t>(30,20x2,10x2)</t>
  </si>
  <si>
    <t>Calçada de contorno do prédio: (planta de situação)</t>
  </si>
  <si>
    <t>Contorno do prédio</t>
  </si>
  <si>
    <t>Ligação com o hospital existente</t>
  </si>
  <si>
    <t>12.07</t>
  </si>
  <si>
    <t>12.06</t>
  </si>
  <si>
    <t>12.08</t>
  </si>
  <si>
    <t>12.10</t>
  </si>
  <si>
    <t>12.11</t>
  </si>
  <si>
    <t>12.15</t>
  </si>
  <si>
    <t xml:space="preserve">Limpeza da obra: </t>
  </si>
  <si>
    <r>
      <t xml:space="preserve">Locação da obra:  </t>
    </r>
    <r>
      <rPr>
        <b/>
        <sz val="11"/>
        <rFont val="Calibri"/>
        <family val="2"/>
      </rPr>
      <t xml:space="preserve"> (9,35*3,95)=36,93m2</t>
    </r>
  </si>
  <si>
    <r>
      <t>Limpeza do terreno: (9,35*8,00)=74,80</t>
    </r>
    <r>
      <rPr>
        <b/>
        <sz val="11"/>
        <rFont val="Calibri"/>
        <family val="2"/>
      </rPr>
      <t>m2</t>
    </r>
  </si>
  <si>
    <t>Escavação valas= 27,00(*0,40*0,60)</t>
  </si>
  <si>
    <t>Escavação c. ciclópico= 6*(,070x0,70x0,80)</t>
  </si>
  <si>
    <t>SEPARAÇÃO PESAGEM</t>
  </si>
  <si>
    <t>BANHEIRO</t>
  </si>
  <si>
    <t>ACESSO ROUPA SUJA</t>
  </si>
  <si>
    <t>A piso x Altura aterro (33,13*0,1)</t>
  </si>
  <si>
    <t>Perimetro de escavação x largura das valas 27,00 x 0,40)</t>
  </si>
  <si>
    <t>A piso x Altura aterro (33,13*0,3)</t>
  </si>
  <si>
    <t>(8,83m3-2,35m3)</t>
  </si>
  <si>
    <t>Perímetro x altura (27,00x0,40)</t>
  </si>
  <si>
    <r>
      <t>Concreto Ciclópico: (0,7*0,7*0,8)*6 =  2,35</t>
    </r>
    <r>
      <rPr>
        <b/>
        <sz val="11"/>
        <rFont val="Calibri"/>
        <family val="2"/>
      </rPr>
      <t xml:space="preserve"> m³</t>
    </r>
  </si>
  <si>
    <t>(0,12x0,20x4,20)*6</t>
  </si>
  <si>
    <t xml:space="preserve">Perimetro (27,00m x 0,10 x 0,20) x 2 </t>
  </si>
  <si>
    <t>3,15x0,12x0,30)</t>
  </si>
  <si>
    <t>VERGAS</t>
  </si>
  <si>
    <t>(3,00x1,30x0,10x,2)</t>
  </si>
  <si>
    <t xml:space="preserve">Beira-bica: (20,00+15,20) =  </t>
  </si>
  <si>
    <r>
      <t xml:space="preserve">Madeiramento para Telha Cerâmica (projeção): Área de cobertura = </t>
    </r>
    <r>
      <rPr>
        <b/>
        <sz val="11"/>
        <color indexed="10"/>
        <rFont val="Calibri"/>
        <family val="2"/>
      </rPr>
      <t>192,20m2</t>
    </r>
  </si>
  <si>
    <r>
      <t>Telha Cerâmica Colonial (projeção):</t>
    </r>
    <r>
      <rPr>
        <b/>
        <sz val="11"/>
        <color indexed="10"/>
        <rFont val="Calibri"/>
        <family val="2"/>
      </rPr>
      <t xml:space="preserve"> 192,20m2</t>
    </r>
  </si>
  <si>
    <r>
      <t xml:space="preserve">Imunização do Madeiramento: </t>
    </r>
    <r>
      <rPr>
        <b/>
        <sz val="11"/>
        <color indexed="10"/>
        <rFont val="Calibri"/>
        <family val="2"/>
      </rPr>
      <t xml:space="preserve"> m2</t>
    </r>
  </si>
  <si>
    <r>
      <t xml:space="preserve">Marquise metálica inc. pintura </t>
    </r>
    <r>
      <rPr>
        <b/>
        <sz val="11"/>
        <color indexed="10"/>
        <rFont val="Calibri"/>
        <family val="2"/>
      </rPr>
      <t>12,73m2</t>
    </r>
  </si>
  <si>
    <r>
      <t xml:space="preserve">Extintor de Água pressurizada (10 l): </t>
    </r>
    <r>
      <rPr>
        <b/>
        <sz val="11"/>
        <color indexed="10"/>
        <rFont val="Calibri"/>
        <family val="2"/>
      </rPr>
      <t>01 unid.</t>
    </r>
  </si>
  <si>
    <r>
      <t xml:space="preserve">Extintor Pó Químico Seco (6kg): </t>
    </r>
    <r>
      <rPr>
        <b/>
        <sz val="11"/>
        <color indexed="10"/>
        <rFont val="Calibri"/>
        <family val="2"/>
      </rPr>
      <t>01 unid.</t>
    </r>
  </si>
  <si>
    <r>
      <t xml:space="preserve">Luminária de Emergência para Lâmpada PL: </t>
    </r>
    <r>
      <rPr>
        <b/>
        <sz val="11"/>
        <color indexed="10"/>
        <rFont val="Calibri"/>
        <family val="2"/>
      </rPr>
      <t>04 unid.</t>
    </r>
  </si>
  <si>
    <r>
      <t xml:space="preserve">Placa Sinalizadora: </t>
    </r>
    <r>
      <rPr>
        <b/>
        <sz val="11"/>
        <color indexed="10"/>
        <rFont val="Calibri"/>
        <family val="2"/>
      </rPr>
      <t>03 unid.</t>
    </r>
  </si>
  <si>
    <r>
      <t xml:space="preserve">Ramal de Entrada Subterrâneo: </t>
    </r>
    <r>
      <rPr>
        <b/>
        <sz val="11"/>
        <color indexed="10"/>
        <rFont val="Calibri"/>
        <family val="2"/>
      </rPr>
      <t>01und.</t>
    </r>
  </si>
  <si>
    <r>
      <t>Ponto Elétrico para Tomada Tripolar 2p+T (eletrodutos, fios, caixas e tomadas):</t>
    </r>
    <r>
      <rPr>
        <b/>
        <sz val="11"/>
        <color indexed="10"/>
        <rFont val="Calibri"/>
        <family val="2"/>
      </rPr>
      <t>18 pts</t>
    </r>
  </si>
  <si>
    <r>
      <t>Ponto Elétrico para Condicionador de Ar Split (caixas, eletrodutos, fios e tomadas):</t>
    </r>
    <r>
      <rPr>
        <b/>
        <sz val="11"/>
        <color indexed="10"/>
        <rFont val="Calibri"/>
        <family val="2"/>
      </rPr>
      <t xml:space="preserve"> 03 pts</t>
    </r>
  </si>
  <si>
    <r>
      <t xml:space="preserve">Ponto Elétrico para Computador (eletrodutos, caixas, fios e tomadas): </t>
    </r>
    <r>
      <rPr>
        <b/>
        <sz val="11"/>
        <color indexed="10"/>
        <rFont val="Calibri"/>
        <family val="2"/>
      </rPr>
      <t>04 pts</t>
    </r>
  </si>
  <si>
    <r>
      <t xml:space="preserve">Ponto Elétrico para Interruptor de 1 seção (eletrodutos, fios, caixas e interruptores): </t>
    </r>
    <r>
      <rPr>
        <b/>
        <sz val="11"/>
        <color indexed="10"/>
        <rFont val="Calibri"/>
        <family val="2"/>
      </rPr>
      <t>05 pts</t>
    </r>
  </si>
  <si>
    <r>
      <t xml:space="preserve">Ponto Elétrico para Interruptor de 2 seção (eletrodutos, fios, caixas e interruptores): </t>
    </r>
    <r>
      <rPr>
        <b/>
        <sz val="11"/>
        <color indexed="10"/>
        <rFont val="Calibri"/>
        <family val="2"/>
      </rPr>
      <t>03pts</t>
    </r>
  </si>
  <si>
    <r>
      <t xml:space="preserve">Ponto Elétrico para Interruptor de 3 seções (eletrodutos, fios, caixas e interruptores): </t>
    </r>
    <r>
      <rPr>
        <b/>
        <sz val="11"/>
        <color indexed="10"/>
        <rFont val="Calibri"/>
        <family val="2"/>
      </rPr>
      <t>01pts</t>
    </r>
  </si>
  <si>
    <r>
      <t xml:space="preserve">Luminária Fluorescente 2x40W: </t>
    </r>
    <r>
      <rPr>
        <b/>
        <sz val="11"/>
        <color indexed="10"/>
        <rFont val="Calibri"/>
        <family val="2"/>
      </rPr>
      <t>12 unid</t>
    </r>
  </si>
  <si>
    <r>
      <t xml:space="preserve">Luminária Fluorescente 2x20W: </t>
    </r>
    <r>
      <rPr>
        <b/>
        <sz val="11"/>
        <color indexed="10"/>
        <rFont val="Calibri"/>
        <family val="2"/>
      </rPr>
      <t>02 unid</t>
    </r>
  </si>
  <si>
    <r>
      <t xml:space="preserve">Caixa de Medição Trifásico alta tensão: </t>
    </r>
    <r>
      <rPr>
        <b/>
        <sz val="11"/>
        <color indexed="10"/>
        <rFont val="Calibri"/>
        <family val="2"/>
      </rPr>
      <t>01 unid</t>
    </r>
  </si>
  <si>
    <r>
      <t xml:space="preserve">Quadro de Distribuição para 18 Circuitos, com Barramento: </t>
    </r>
    <r>
      <rPr>
        <b/>
        <sz val="11"/>
        <color indexed="10"/>
        <rFont val="Calibri"/>
        <family val="2"/>
      </rPr>
      <t>01 unid</t>
    </r>
  </si>
  <si>
    <r>
      <t xml:space="preserve">Aterramento com Haste de Cobre seção 5/8"x2,40m incluindo conector: </t>
    </r>
    <r>
      <rPr>
        <b/>
        <sz val="11"/>
        <color indexed="10"/>
        <rFont val="Calibri"/>
        <family val="2"/>
      </rPr>
      <t>03 unid</t>
    </r>
  </si>
  <si>
    <r>
      <t xml:space="preserve">Ponto para Telefone Padrão Telebrás (eletrodutos, caixas, fios e tomadas): </t>
    </r>
    <r>
      <rPr>
        <b/>
        <sz val="11"/>
        <color indexed="10"/>
        <rFont val="Calibri"/>
        <family val="2"/>
      </rPr>
      <t>02 pts</t>
    </r>
  </si>
  <si>
    <r>
      <t xml:space="preserve">Ponto de Lógica (eletrodutos, fios, caixas e tomadas): </t>
    </r>
    <r>
      <rPr>
        <b/>
        <sz val="11"/>
        <color indexed="10"/>
        <rFont val="Calibri"/>
        <family val="2"/>
      </rPr>
      <t>04 pts</t>
    </r>
  </si>
  <si>
    <r>
      <t xml:space="preserve">Luminária  Arandela tipo tartaruga c/lampada PL15w(eletroduros, fios, caixas): </t>
    </r>
    <r>
      <rPr>
        <b/>
        <sz val="11"/>
        <color indexed="10"/>
        <rFont val="Calibri"/>
        <family val="2"/>
      </rPr>
      <t>04unid</t>
    </r>
  </si>
  <si>
    <r>
      <t xml:space="preserve">Plafon de alumínio para uma lampadaeletrônica PL 15w : </t>
    </r>
    <r>
      <rPr>
        <b/>
        <sz val="11"/>
        <color indexed="10"/>
        <rFont val="Calibri"/>
        <family val="2"/>
      </rPr>
      <t>06und.</t>
    </r>
  </si>
  <si>
    <r>
      <t xml:space="preserve">Disjuntor "No Fuse" de 60 a 100A (inclusive instalação): </t>
    </r>
    <r>
      <rPr>
        <b/>
        <sz val="11"/>
        <color indexed="10"/>
        <rFont val="Calibri"/>
        <family val="2"/>
      </rPr>
      <t>01 unid</t>
    </r>
  </si>
  <si>
    <r>
      <t xml:space="preserve"> Disjuntor "Quick Lag" de 10 a 30A (inclusive instalação): </t>
    </r>
    <r>
      <rPr>
        <b/>
        <sz val="11"/>
        <color indexed="10"/>
        <rFont val="Calibri"/>
        <family val="2"/>
      </rPr>
      <t>15 unid</t>
    </r>
  </si>
  <si>
    <r>
      <t xml:space="preserve">Ponto de Luz Luminária Tipo Arandela (completa): </t>
    </r>
    <r>
      <rPr>
        <b/>
        <sz val="11"/>
        <color indexed="10"/>
        <rFont val="Calibri"/>
        <family val="2"/>
      </rPr>
      <t>04 unid</t>
    </r>
  </si>
  <si>
    <r>
      <t xml:space="preserve">Ponto elétrico no teto ( eletrodutos , fios, caixas e interruptor): </t>
    </r>
    <r>
      <rPr>
        <b/>
        <sz val="11"/>
        <color indexed="10"/>
        <rFont val="Calibri"/>
        <family val="2"/>
      </rPr>
      <t>22 pts</t>
    </r>
  </si>
  <si>
    <r>
      <t xml:space="preserve">Ventilador de Teto: </t>
    </r>
    <r>
      <rPr>
        <b/>
        <sz val="11"/>
        <color indexed="10"/>
        <rFont val="Calibri"/>
        <family val="2"/>
      </rPr>
      <t>07 unid</t>
    </r>
  </si>
  <si>
    <r>
      <t xml:space="preserve">Vaso sanitário louça branca c/descarga acoplada inc. assento: </t>
    </r>
    <r>
      <rPr>
        <b/>
        <sz val="11"/>
        <color indexed="10"/>
        <rFont val="Calibri"/>
        <family val="2"/>
      </rPr>
      <t>02 unid</t>
    </r>
  </si>
  <si>
    <r>
      <t xml:space="preserve">Ducha higiênica com torneira de pressão inox: </t>
    </r>
    <r>
      <rPr>
        <b/>
        <sz val="11"/>
        <color indexed="10"/>
        <rFont val="Calibri"/>
        <family val="2"/>
      </rPr>
      <t>02 unid</t>
    </r>
  </si>
  <si>
    <r>
      <t xml:space="preserve">Lavatório de louça branca, sem coluna, torneira metálica simples  e válvula de inox: </t>
    </r>
    <r>
      <rPr>
        <b/>
        <sz val="11"/>
        <color indexed="10"/>
        <rFont val="Calibri"/>
        <family val="2"/>
      </rPr>
      <t>05 unid</t>
    </r>
  </si>
  <si>
    <r>
      <t xml:space="preserve">Copo sifonado metálico inox: </t>
    </r>
    <r>
      <rPr>
        <b/>
        <sz val="11"/>
        <color indexed="10"/>
        <rFont val="Calibri"/>
        <family val="2"/>
      </rPr>
      <t>05 unid</t>
    </r>
  </si>
  <si>
    <r>
      <t xml:space="preserve">Caixa de inspeção/gordura, com diâmetro =0,60m, com tampa e fundo de concreto: </t>
    </r>
    <r>
      <rPr>
        <b/>
        <sz val="11"/>
        <color indexed="10"/>
        <rFont val="Calibri"/>
        <family val="2"/>
      </rPr>
      <t>07 unid</t>
    </r>
  </si>
  <si>
    <r>
      <t xml:space="preserve">Caixa sifonada pvc  10x10 cm com grelha metálica inox e fecho hídrico: </t>
    </r>
    <r>
      <rPr>
        <b/>
        <sz val="11"/>
        <color indexed="10"/>
        <rFont val="Calibri"/>
        <family val="2"/>
      </rPr>
      <t>06 unid</t>
    </r>
  </si>
  <si>
    <r>
      <t xml:space="preserve">Registro de gaveta: </t>
    </r>
    <r>
      <rPr>
        <b/>
        <sz val="11"/>
        <color indexed="10"/>
        <rFont val="Calibri"/>
        <family val="2"/>
      </rPr>
      <t>06 unid</t>
    </r>
  </si>
  <si>
    <r>
      <t xml:space="preserve">Porta-sabão líquido: </t>
    </r>
    <r>
      <rPr>
        <b/>
        <sz val="11"/>
        <color indexed="10"/>
        <rFont val="Calibri"/>
        <family val="2"/>
      </rPr>
      <t>05 unid</t>
    </r>
  </si>
  <si>
    <r>
      <t xml:space="preserve">Porta-toalha de papel inox: </t>
    </r>
    <r>
      <rPr>
        <b/>
        <sz val="11"/>
        <color indexed="10"/>
        <rFont val="Calibri"/>
        <family val="2"/>
      </rPr>
      <t>05 unid</t>
    </r>
  </si>
  <si>
    <r>
      <t xml:space="preserve">Ponto de esgoto primário: </t>
    </r>
    <r>
      <rPr>
        <b/>
        <sz val="11"/>
        <color indexed="10"/>
        <rFont val="Calibri"/>
        <family val="2"/>
      </rPr>
      <t>02 pt</t>
    </r>
  </si>
  <si>
    <r>
      <t xml:space="preserve">Tubo PVC soldável para esgoto de 100 mm inclusive conexões: </t>
    </r>
    <r>
      <rPr>
        <b/>
        <sz val="11"/>
        <color indexed="10"/>
        <rFont val="Calibri"/>
        <family val="2"/>
      </rPr>
      <t>48 m</t>
    </r>
  </si>
  <si>
    <r>
      <t xml:space="preserve">Tubo de PVC de 50mm para ventilação, inclusive conexões: </t>
    </r>
    <r>
      <rPr>
        <b/>
        <sz val="11"/>
        <color indexed="10"/>
        <rFont val="Calibri"/>
        <family val="2"/>
      </rPr>
      <t>24 m</t>
    </r>
  </si>
  <si>
    <r>
      <t xml:space="preserve">Ponto de água fria: </t>
    </r>
    <r>
      <rPr>
        <b/>
        <sz val="11"/>
        <color indexed="10"/>
        <rFont val="Calibri"/>
        <family val="2"/>
      </rPr>
      <t>08 unid</t>
    </r>
  </si>
  <si>
    <r>
      <t xml:space="preserve">Ponto de esgoto secundário: </t>
    </r>
    <r>
      <rPr>
        <b/>
        <sz val="11"/>
        <color indexed="10"/>
        <rFont val="Calibri"/>
        <family val="2"/>
      </rPr>
      <t>06 unid</t>
    </r>
  </si>
  <si>
    <r>
      <t>Fossa séptica para 50 pessoas:</t>
    </r>
    <r>
      <rPr>
        <b/>
        <sz val="11"/>
        <color indexed="10"/>
        <rFont val="Calibri"/>
        <family val="2"/>
      </rPr>
      <t xml:space="preserve"> 01 unid</t>
    </r>
  </si>
  <si>
    <r>
      <t xml:space="preserve">Sumidouro para 50 pessoas: </t>
    </r>
    <r>
      <rPr>
        <b/>
        <sz val="11"/>
        <color indexed="10"/>
        <rFont val="Calibri"/>
        <family val="2"/>
      </rPr>
      <t>01 unid</t>
    </r>
  </si>
  <si>
    <r>
      <t xml:space="preserve">Tanque de lavar completo(0,70x0,50)m : </t>
    </r>
    <r>
      <rPr>
        <b/>
        <sz val="11"/>
        <color indexed="10"/>
        <rFont val="Calibri"/>
        <family val="2"/>
      </rPr>
      <t>01 unid</t>
    </r>
  </si>
  <si>
    <r>
      <t xml:space="preserve">Caixa d'água 1000L: </t>
    </r>
    <r>
      <rPr>
        <b/>
        <sz val="11"/>
        <color indexed="10"/>
        <rFont val="Calibri"/>
        <family val="2"/>
      </rPr>
      <t>01 und.</t>
    </r>
  </si>
  <si>
    <r>
      <t xml:space="preserve">Porta de madeira, cedro, lisa, uma folha, completa  (forra, alizares, ferragens, fechaduras com maçaneta tipo alavanca extremidade curva)0,80x2,10m= </t>
    </r>
    <r>
      <rPr>
        <b/>
        <sz val="11"/>
        <color indexed="10"/>
        <rFont val="Calibri"/>
        <family val="2"/>
      </rPr>
      <t>02und.</t>
    </r>
  </si>
  <si>
    <r>
      <t xml:space="preserve">Porta de madeira, cedro, lisa, duas folhas, completa  (forra, alizares, ferragens, fechaduras com maçaneta tipo alavanca extremidade curva)1,20x2,10m= </t>
    </r>
    <r>
      <rPr>
        <b/>
        <sz val="11"/>
        <color indexed="10"/>
        <rFont val="Calibri"/>
        <family val="2"/>
      </rPr>
      <t>02und.</t>
    </r>
  </si>
  <si>
    <r>
      <t xml:space="preserve">Porta em alumínio/vidro,de correr, na côr natural (3,15x2,10m)= </t>
    </r>
    <r>
      <rPr>
        <b/>
        <sz val="11"/>
        <color indexed="10"/>
        <rFont val="Calibri"/>
        <family val="2"/>
      </rPr>
      <t>01und.</t>
    </r>
  </si>
  <si>
    <r>
      <t>Soleira em granito e=15cm:</t>
    </r>
    <r>
      <rPr>
        <b/>
        <sz val="11"/>
        <color indexed="10"/>
        <rFont val="Calibri"/>
        <family val="2"/>
      </rPr>
      <t>3,15m</t>
    </r>
  </si>
  <si>
    <r>
      <t>Alça de apoio inox , 1  1/2"comp=0,50 m, h=0,90m para porta: 2</t>
    </r>
    <r>
      <rPr>
        <b/>
        <sz val="11"/>
        <color indexed="10"/>
        <rFont val="Calibri"/>
        <family val="2"/>
      </rPr>
      <t>,00 unid</t>
    </r>
  </si>
  <si>
    <r>
      <t>Alça de apoio inox 1 1/2", comp=0,90 m, h=0,76 m para parede:</t>
    </r>
    <r>
      <rPr>
        <b/>
        <sz val="11"/>
        <color indexed="10"/>
        <rFont val="Calibri"/>
        <family val="2"/>
      </rPr>
      <t xml:space="preserve"> 4,00 unid</t>
    </r>
  </si>
  <si>
    <r>
      <t xml:space="preserve">Forro de gesso sob a marquise </t>
    </r>
    <r>
      <rPr>
        <b/>
        <sz val="11"/>
        <color indexed="10"/>
        <rFont val="Calibri"/>
        <family val="2"/>
      </rPr>
      <t>12,73m2</t>
    </r>
  </si>
  <si>
    <r>
      <t xml:space="preserve">Balcão em granito cinza polido, conforme projeto: (0,90+1,10+1,00)*0,50= </t>
    </r>
    <r>
      <rPr>
        <b/>
        <sz val="11"/>
        <color indexed="10"/>
        <rFont val="Calibri"/>
        <family val="2"/>
      </rPr>
      <t>1,50m2</t>
    </r>
  </si>
  <si>
    <r>
      <t xml:space="preserve">Mureta h=0,50m chapiscada dos dois lados:(15,00*0,50)= </t>
    </r>
    <r>
      <rPr>
        <b/>
        <sz val="11"/>
        <color indexed="10"/>
        <rFont val="Calibri"/>
        <family val="2"/>
      </rPr>
      <t>7,50m2</t>
    </r>
  </si>
  <si>
    <r>
      <t xml:space="preserve">Forro de gesso :  = </t>
    </r>
    <r>
      <rPr>
        <b/>
        <sz val="11"/>
        <color indexed="10"/>
        <rFont val="Calibri"/>
        <family val="2"/>
      </rPr>
      <t>8,80m2</t>
    </r>
  </si>
  <si>
    <r>
      <t xml:space="preserve">Letreiro com o nome da obra (fachada principal): </t>
    </r>
    <r>
      <rPr>
        <b/>
        <sz val="11"/>
        <color indexed="10"/>
        <rFont val="Calibri"/>
        <family val="2"/>
      </rPr>
      <t>01 unid</t>
    </r>
  </si>
  <si>
    <r>
      <t xml:space="preserve">Plaqueta de identificação de ambiente: </t>
    </r>
    <r>
      <rPr>
        <b/>
        <sz val="11"/>
        <color indexed="10"/>
        <rFont val="Calibri"/>
        <family val="2"/>
      </rPr>
      <t>07 unid</t>
    </r>
  </si>
  <si>
    <t>DEMOLIÇÃOES</t>
  </si>
  <si>
    <t>PAREDE</t>
  </si>
  <si>
    <t>REBOCO</t>
  </si>
  <si>
    <t>perimetro parede</t>
  </si>
  <si>
    <t>piso</t>
  </si>
  <si>
    <t>emboço</t>
  </si>
  <si>
    <t>porta</t>
  </si>
  <si>
    <t>janela</t>
  </si>
  <si>
    <t>Retirada de portas e janelas, inclusive batentes</t>
  </si>
  <si>
    <t>C2210</t>
  </si>
  <si>
    <t>PLANILHA  ORÇAMENTÁRIA (REFORMA)</t>
  </si>
  <si>
    <r>
      <rPr>
        <b/>
        <sz val="12"/>
        <rFont val="Arial"/>
        <family val="2"/>
      </rPr>
      <t>Obra:</t>
    </r>
    <r>
      <rPr>
        <sz val="12"/>
        <rFont val="Arial"/>
        <family val="2"/>
      </rPr>
      <t xml:space="preserve"> Reforma  WWWWWWWWWWWWWWWWWWWW</t>
    </r>
  </si>
  <si>
    <r>
      <rPr>
        <b/>
        <sz val="12"/>
        <rFont val="Arial"/>
        <family val="2"/>
      </rPr>
      <t>Município:</t>
    </r>
    <r>
      <rPr>
        <sz val="12"/>
        <rFont val="Arial"/>
        <family val="2"/>
      </rPr>
      <t xml:space="preserve"> YYYYYYYYYYYYYYYYYYYYYYYYYY</t>
    </r>
  </si>
  <si>
    <r>
      <rPr>
        <b/>
        <sz val="12"/>
        <rFont val="Arial"/>
        <family val="2"/>
      </rPr>
      <t>Endereço:</t>
    </r>
    <r>
      <rPr>
        <sz val="12"/>
        <rFont val="Arial"/>
        <family val="2"/>
      </rPr>
      <t xml:space="preserve"> WWWWWWWWWWWWWWWWWWWWWW</t>
    </r>
  </si>
  <si>
    <t>CRONOGRAMA FÍSICO-FINANCEIRO  (CONSOLIDADO)</t>
  </si>
  <si>
    <t>CRONOGRAMA FÍSICO-FINANCEIRO (REFORMA)</t>
  </si>
  <si>
    <t>Obra: SSSSSSSSSSSSS</t>
  </si>
  <si>
    <t>Município: SSSSSSSSSSSS</t>
  </si>
  <si>
    <t>MEMÓRIA DE CÁLCULO (REFORMA)</t>
  </si>
  <si>
    <t>MEMÓRIA DE CÁLCULO (AMPLIAÇÃO)</t>
  </si>
  <si>
    <t>Retirada de louças e acessórios</t>
  </si>
  <si>
    <t>C1061</t>
  </si>
  <si>
    <t>PORTAS</t>
  </si>
  <si>
    <t>Porta de madeira aplicada para pintura 0,80x2,10m</t>
  </si>
  <si>
    <t>und</t>
  </si>
  <si>
    <t>JANELAS</t>
  </si>
  <si>
    <t xml:space="preserve"> ORSE</t>
  </si>
  <si>
    <t>Vidro liso fumê, espessura 6MM</t>
  </si>
  <si>
    <t>REVESTIMENTO PAREDE</t>
  </si>
  <si>
    <t>Chapisco grosso no traço 1:3 (cimento e areia grossa)</t>
  </si>
  <si>
    <t>Emboco paulista (massa unica) traco 1:6 (cimento e areia), espessura 2,5cm, preparo manual</t>
  </si>
  <si>
    <t>C0776</t>
  </si>
  <si>
    <t>C3080</t>
  </si>
  <si>
    <t>Pintura em esquadria de madeira com esmalte sintético, duas demãos</t>
  </si>
  <si>
    <t>73739/001</t>
  </si>
  <si>
    <t>Bancada em granito Branco Dallas, e = 2cm, curvada, com testeira e prateleiras, conforme projeto</t>
  </si>
  <si>
    <t>Vaso sanitario c/caixa de descarga acoplada, c/saída horizontal, linha ravena, DECA ou similar, inclusive assento ASTRA TPK ou similar, conj. de fixação DECA SP13 ou similar, anel de vedação e engate plástico</t>
  </si>
  <si>
    <t>Tanque em aço inox, incluso torneira cromada e sifão PVC</t>
  </si>
  <si>
    <t>SERVIÇOS FINAIS</t>
  </si>
  <si>
    <t>Carga manual de entulho em caminhao basculante 6 m3</t>
  </si>
  <si>
    <t>Transporte de entulho com caminhao basculante 6 m3, rodovia pavimentada, DMT 0,5 a 1,0 km</t>
  </si>
  <si>
    <t>Limpeza geral da obra</t>
  </si>
  <si>
    <t>REVESTIMENTO PISO</t>
  </si>
  <si>
    <t>INSTALAÇÕES ELÉTRICAS</t>
  </si>
  <si>
    <r>
      <rPr>
        <b/>
        <sz val="12"/>
        <rFont val="Arial"/>
        <family val="2"/>
      </rPr>
      <t>Município:</t>
    </r>
    <r>
      <rPr>
        <sz val="12"/>
        <rFont val="Arial"/>
        <family val="2"/>
      </rPr>
      <t xml:space="preserve"> PIRIPIRI-PI</t>
    </r>
  </si>
  <si>
    <r>
      <rPr>
        <b/>
        <sz val="12"/>
        <rFont val="Arial"/>
        <family val="2"/>
      </rPr>
      <t>Obra:</t>
    </r>
    <r>
      <rPr>
        <sz val="12"/>
        <rFont val="Arial"/>
        <family val="2"/>
      </rPr>
      <t xml:space="preserve">  REFORMA  DO CENTRO CIRÚRGICO DO HOSPITAL CHAGAS RODRIGUES</t>
    </r>
  </si>
  <si>
    <r>
      <rPr>
        <b/>
        <sz val="12"/>
        <rFont val="Arial"/>
        <family val="2"/>
      </rPr>
      <t>Endereço:</t>
    </r>
    <r>
      <rPr>
        <sz val="12"/>
        <rFont val="Arial"/>
        <family val="2"/>
      </rPr>
      <t xml:space="preserve"> AV. DR PADUA MENDES, 300, CENTRO</t>
    </r>
  </si>
  <si>
    <r>
      <rPr>
        <b/>
        <sz val="14"/>
        <rFont val="Arial"/>
        <family val="2"/>
      </rPr>
      <t>Obra</t>
    </r>
    <r>
      <rPr>
        <sz val="14"/>
        <rFont val="Arial"/>
        <family val="2"/>
      </rPr>
      <t>:  Construção do Centro de Parto Normal (CPN)</t>
    </r>
  </si>
  <si>
    <r>
      <t>Endereço:</t>
    </r>
    <r>
      <rPr>
        <sz val="14"/>
        <rFont val="Arial"/>
        <family val="2"/>
      </rPr>
      <t xml:space="preserve">  Zona Urbana</t>
    </r>
  </si>
  <si>
    <t>Data Base: Fevereiro 2015/Com Desoneração</t>
  </si>
  <si>
    <t>MEMORIAL DE CÁLCULO</t>
  </si>
  <si>
    <t>UNID</t>
  </si>
  <si>
    <t>APLICAÇÃO</t>
  </si>
  <si>
    <t>COMPRI/PERÍMETRO</t>
  </si>
  <si>
    <t>LARGURA</t>
  </si>
  <si>
    <t>AREA</t>
  </si>
  <si>
    <t>VOLUME</t>
  </si>
  <si>
    <t>QUANTIDADE</t>
  </si>
  <si>
    <t>m²</t>
  </si>
  <si>
    <t>unid.</t>
  </si>
  <si>
    <t>Circulação</t>
  </si>
  <si>
    <t>Janela C4</t>
  </si>
  <si>
    <t>Porta 80x210</t>
  </si>
  <si>
    <t>Circulações</t>
  </si>
  <si>
    <r>
      <rPr>
        <b/>
        <sz val="14"/>
        <color indexed="8"/>
        <rFont val="Arial"/>
        <family val="2"/>
      </rPr>
      <t xml:space="preserve">Município: </t>
    </r>
    <r>
      <rPr>
        <sz val="14"/>
        <color indexed="8"/>
        <rFont val="Arial"/>
        <family val="2"/>
      </rPr>
      <t>Picos-PI</t>
    </r>
  </si>
  <si>
    <t>Revestimento cerâmico para paredes internas com placas tipo grês dimensões 20x20 cm aplicadas em ambientes de área menor que  5 m² na altura inteira das paredes. AF_06/2014 com h=3,0m</t>
  </si>
  <si>
    <t xml:space="preserve">74133/001 </t>
  </si>
  <si>
    <t>Emassamento com massa, uma demao para teto</t>
  </si>
  <si>
    <t>Aplicação manual de pintura com tinta látex acrílica em teto, duas demãos</t>
  </si>
  <si>
    <t xml:space="preserve">Lavatório louça branca suspenso, 29,5 x 39cm  - fornecimento e instalação. </t>
  </si>
  <si>
    <t>Pia de expurgo</t>
  </si>
  <si>
    <t>Torneira cromada 1/2" ou 3/4" para tanque, padrão médio - fornecimento e instalação</t>
  </si>
  <si>
    <t>Ponto de iluminação residencial incluindo interruptor simples, caixa elétrica, eletroduto, cabo, rasgo, quebra e chumbamento (excluindo luminária e lâmpada).</t>
  </si>
  <si>
    <t>Posto</t>
  </si>
  <si>
    <t>Expurgo</t>
  </si>
  <si>
    <t>Esterilazação</t>
  </si>
  <si>
    <t>Gurada de Material</t>
  </si>
  <si>
    <t>Recuperação Anestésica</t>
  </si>
  <si>
    <t>Sala Cirúrgica</t>
  </si>
  <si>
    <t>Vestiários</t>
  </si>
  <si>
    <t>Sala Cirurgia</t>
  </si>
  <si>
    <t>4.03</t>
  </si>
  <si>
    <t>wc 1</t>
  </si>
  <si>
    <t>wc 2</t>
  </si>
  <si>
    <t>Porta de 0,80x2,10</t>
  </si>
  <si>
    <t>Porta de 1,40x2,10</t>
  </si>
  <si>
    <t>1.07</t>
  </si>
  <si>
    <t>Retirada de Pontos Elétricos</t>
  </si>
  <si>
    <t>revestimento de piso cerâmico anti-derrapante PEI-5</t>
  </si>
  <si>
    <t>banheiros</t>
  </si>
  <si>
    <t>colocação de lastro de impermeabilização - 6 cm</t>
  </si>
  <si>
    <t>lixamento e polimento de piso monolitico</t>
  </si>
  <si>
    <t>PISO</t>
  </si>
  <si>
    <t>PAREDES</t>
  </si>
  <si>
    <t>Chapisco de paredes</t>
  </si>
  <si>
    <t>Reboco de paredes</t>
  </si>
  <si>
    <t>Revestimento cerâmico para paredes internas com placas tipo grês dimensões 20x20</t>
  </si>
  <si>
    <t>FORRO</t>
  </si>
  <si>
    <t>emassamento do forro</t>
  </si>
  <si>
    <t>pintura acrilica do forro</t>
  </si>
  <si>
    <t>HIDRO-SANITÁRIAS</t>
  </si>
  <si>
    <t>Vasos sanitários c/ caixa acoplada</t>
  </si>
  <si>
    <t>lavatórios</t>
  </si>
  <si>
    <t>uni</t>
  </si>
  <si>
    <t>Pia de inox c cuba</t>
  </si>
  <si>
    <t>Banheiros</t>
  </si>
  <si>
    <t>Revestimento de piso cerâmico anti-derrapante PEI-5</t>
  </si>
  <si>
    <t>Colocação de lastro de impermeabilização - h=6 cm</t>
  </si>
  <si>
    <t>Lixamento e polimento de piso monolitico</t>
  </si>
  <si>
    <t>ELÉTRICAS</t>
  </si>
  <si>
    <t xml:space="preserve">Colocação de espelhos de tomadas e </t>
  </si>
  <si>
    <t>ponto de iliminação completo</t>
  </si>
  <si>
    <t xml:space="preserve">Luminárias 2x40w </t>
  </si>
  <si>
    <t>PINTURA PARA PAREDES</t>
  </si>
  <si>
    <t xml:space="preserve">Selador </t>
  </si>
  <si>
    <t>Estar</t>
  </si>
  <si>
    <t>Sala de Cirurgia</t>
  </si>
  <si>
    <t>Pintura Epoxi</t>
  </si>
  <si>
    <t>Torneira tipo alavanca</t>
  </si>
  <si>
    <t>Lavabo cirurgico</t>
  </si>
  <si>
    <t>Copo sifonado cromado</t>
  </si>
  <si>
    <t>Porta de madeira lisa 0,80x2,10</t>
  </si>
  <si>
    <t>porta de madeira lisa 1,40x2,10</t>
  </si>
  <si>
    <t>Janelas de aluminio e vidro 1,50x1,10</t>
  </si>
  <si>
    <t>PINTURA DE ESQUADRIAS</t>
  </si>
  <si>
    <t>pINTURa em esquadria de madeira com esmalte sintéticO</t>
  </si>
  <si>
    <t>emassamento em essquadria de madeira</t>
  </si>
  <si>
    <t>BATE MACAS</t>
  </si>
  <si>
    <t>BANCADA DE GRANITO POLIDO</t>
  </si>
  <si>
    <t>M2</t>
  </si>
  <si>
    <t>Posto de enfermagem</t>
  </si>
  <si>
    <t>carga de entulho em caminhão basculhante 6 m3</t>
  </si>
  <si>
    <t>limpeza geral da obra</t>
  </si>
  <si>
    <t>pontos de gases medicinais</t>
  </si>
  <si>
    <t>regua balisadora para gases medicinais</t>
  </si>
  <si>
    <t>bomba de vacuo para gases medicinais</t>
  </si>
  <si>
    <t>bomba de ar comprimido para gases medicinais</t>
  </si>
  <si>
    <t>paredes internas</t>
  </si>
  <si>
    <t>banheiros e vestiários</t>
  </si>
  <si>
    <t>REVESTIMENTO DE FORRO</t>
  </si>
  <si>
    <t>Porta 140x210</t>
  </si>
  <si>
    <t>Porta de madeira lisa</t>
  </si>
  <si>
    <t>ESQUADRIAS METALICAS</t>
  </si>
  <si>
    <t>ESQUADRIAS MADEIRA</t>
  </si>
  <si>
    <t>Lavatório louça branca suspenso</t>
  </si>
  <si>
    <t>Luminaria tipo calha, de sobrepor, lampada fluorescente 2x40w</t>
  </si>
  <si>
    <t xml:space="preserve">Ponto de iluminação residencial </t>
  </si>
  <si>
    <t>Colocação de espelhos de tomadas</t>
  </si>
  <si>
    <t>INSTALAÇões ELÉTRICAS</t>
  </si>
  <si>
    <t>Guarda de Material</t>
  </si>
  <si>
    <t>Fundo selador acrílico, uma demão</t>
  </si>
  <si>
    <t>Aplicação de pintura epóxi</t>
  </si>
  <si>
    <t>Pintura em esquadria de madeira com esmalte sintéticO</t>
  </si>
  <si>
    <t>Paredes Internas</t>
  </si>
  <si>
    <t>Emassamento em esquadria de madeira</t>
  </si>
  <si>
    <t>Emassamento do forro</t>
  </si>
  <si>
    <t>Forro dos ambientes</t>
  </si>
  <si>
    <t>Aplicação de pintura acrílica do forro</t>
  </si>
  <si>
    <t>Bate maca</t>
  </si>
  <si>
    <t>Bancada de granito polido</t>
  </si>
  <si>
    <t>Pontos de gases medicinais</t>
  </si>
  <si>
    <t>Régua Balisadora de gases medicinais</t>
  </si>
  <si>
    <t>Teresina (PI), 19 de Abril de 2016</t>
  </si>
  <si>
    <t xml:space="preserve">INSTALAÇÕES  HIDRO-SANITÁRIAS </t>
  </si>
  <si>
    <t xml:space="preserve">m2 </t>
  </si>
  <si>
    <t>Porta de madeira aplicada para pintura 1,40x2,10m</t>
  </si>
  <si>
    <t>Janela em alumínio, cor branco, maximar</t>
  </si>
  <si>
    <t>Fundo selador acrílico em paredes, uma demão</t>
  </si>
  <si>
    <t xml:space="preserve">Emassamento com massa para paredes, uma demao </t>
  </si>
  <si>
    <t>Fundo selador acrílico em teto, uma demão</t>
  </si>
  <si>
    <t>SIFAO PLASTICO TIPO COPO PARA TANQUE, 1.1/4 X 1.1/2 "</t>
  </si>
  <si>
    <t>6.01.01</t>
  </si>
  <si>
    <t>6.01.02</t>
  </si>
  <si>
    <t>6.02.01</t>
  </si>
  <si>
    <t>6.02.02</t>
  </si>
  <si>
    <t>CONE PARA EXPURGO EM AÇO INOX COM TAMPA E GRELHA - L=500MM X C=500MM, ALTURA ATÉ 300MM E SAÍDA D=100MM</t>
  </si>
  <si>
    <t>C3671</t>
  </si>
  <si>
    <t>RODAPÉ CERÂMICO DE 7CM DE ALTURA COM PLACAS TIPO ESMALTADA EXTRA DE DIMENSÕES 60X60CM. AF_06/2014</t>
  </si>
  <si>
    <t>REVESTIMENTO CERÂMICO PARA PISO COM PLACAS TIPO PORCELANATO DE DIMENSÕES 60X60 CM APLICADA EM AMBIENTES DE ÁREA ENTRE 5 M² E 10 M². AF_06/2014</t>
  </si>
  <si>
    <t>73910/009</t>
  </si>
  <si>
    <t>Janela em alumínio, cor preta, maxim-ar, exclusive vidros</t>
  </si>
  <si>
    <t>Aplicação de pintura a base de resina epoxi em paredes, duas demãos</t>
  </si>
  <si>
    <t>Demolição de revestimento cerâmico</t>
  </si>
  <si>
    <t>Remoção de pia</t>
  </si>
  <si>
    <t>EMASSAMENTO DE ESQUADRIAS DE MADEIRA P/TINTA ÓLEO OU ESMALTE 2 DEMÃOS</t>
  </si>
  <si>
    <t>C1206</t>
  </si>
  <si>
    <t>LUMINÁRIA TIPO CALHA, DE SOBREPOR, COM 2 LÂMPADAS TUBULARES DE 36 W -FORNECIMENTO E INSTALAÇÃO. AF_11/2017</t>
  </si>
  <si>
    <t>8.3</t>
  </si>
  <si>
    <t>COTAÇÃO</t>
  </si>
  <si>
    <t>Retirada de revestimento cerâmico</t>
  </si>
  <si>
    <t>Tomada 2P+T</t>
  </si>
  <si>
    <t>SEINFEA CE</t>
  </si>
  <si>
    <t>C2484</t>
  </si>
  <si>
    <t>SEINFRA CE</t>
  </si>
  <si>
    <t>C1902</t>
  </si>
  <si>
    <t>Remoção de metais sanitários / LAVABO</t>
  </si>
  <si>
    <t>Lavabo cirurgico / Pia inox (2,00x0,58)m</t>
  </si>
  <si>
    <t>Instalação de rede de gases medicinais com 32 Postos de Consumo (OX, AR e VC), 03 Painéis de Alarme (OX, AR e VC), e 07 Painéis Medicinais (Réguas)</t>
  </si>
  <si>
    <r>
      <rPr>
        <b/>
        <sz val="10"/>
        <rFont val="Arial"/>
        <family val="2"/>
      </rPr>
      <t>Município:</t>
    </r>
    <r>
      <rPr>
        <sz val="10"/>
        <rFont val="Arial"/>
        <family val="2"/>
      </rPr>
      <t xml:space="preserve"> Piripiri - PI</t>
    </r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</si>
  <si>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Reforma do Centro Cirúrgico - HRCR</t>
    </r>
  </si>
  <si>
    <t>Remoção de interruptores e tomadas</t>
  </si>
  <si>
    <t>Teresina (PI), 02 de Abril de 2019</t>
  </si>
  <si>
    <t>Teresina (PI), 02 de Abril 2019</t>
  </si>
  <si>
    <t>BATE-MACAS EM AÇO INOXIDÁVEL CONTRA IMPACTO EM PAREDE</t>
  </si>
  <si>
    <t>MERCADO</t>
  </si>
  <si>
    <t>Data Base: SINAPI MARÇO 2019/Com Desoneração; ORSE JANEIRO 2019; SEINFRA 026.1</t>
  </si>
  <si>
    <r>
      <rPr>
        <sz val="14"/>
        <rFont val="Arial"/>
        <family val="2"/>
      </rPr>
      <t xml:space="preserve">Importa o presente orçamento a quantia de </t>
    </r>
    <r>
      <rPr>
        <b/>
        <sz val="14"/>
        <rFont val="Arial"/>
        <family val="2"/>
      </rPr>
      <t>R$ 232.963,53 (duzentos e trinta e dois mil, novecentos e sessenta e tres reais e cinquenta e dois centavos).</t>
    </r>
  </si>
  <si>
    <t>Teresina (PI), 25 DE ABRIL 2019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</si>
</sst>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&quot;.&quot;00"/>
    <numFmt numFmtId="173" formatCode="_(* #,##0.00_);_(* \(#,##0.00\);_(* \-??_);_(@_)"/>
    <numFmt numFmtId="174" formatCode="_-* #,##0.00_-;\-* #,##0.00_-;_-* \-??_-;_-@_-"/>
    <numFmt numFmtId="175" formatCode="_(* #,##0_);_(* \(#,##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#,##0.000"/>
    <numFmt numFmtId="181" formatCode="#,##0.0000"/>
    <numFmt numFmtId="182" formatCode="0.000"/>
    <numFmt numFmtId="183" formatCode="#,##0.00000"/>
    <numFmt numFmtId="184" formatCode="0.0000"/>
    <numFmt numFmtId="185" formatCode="_-* #,##0.0000_-;\-* #,##0.0000_-;_-* &quot;-&quot;??_-;_-@_-"/>
    <numFmt numFmtId="186" formatCode="_-* #,##0.000_-;\-* #,##0.000_-;_-* &quot;-&quot;??_-;_-@_-"/>
    <numFmt numFmtId="187" formatCode="#,##0.0000_ ;\-#,##0.0000\ "/>
    <numFmt numFmtId="188" formatCode="0.0%"/>
    <numFmt numFmtId="189" formatCode="[$-416]dddd\,\ d&quot; de &quot;mmmm&quot; de &quot;yyyy"/>
    <numFmt numFmtId="190" formatCode="0.0"/>
    <numFmt numFmtId="191" formatCode="_-* #,##0.0_-;\-* #,##0.0_-;_-* &quot;-&quot;??_-;_-@_-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&quot;R$&quot;\ #,##0.00"/>
    <numFmt numFmtId="203" formatCode="&quot;Ativar&quot;;&quot;Ativar&quot;;&quot;Desativar&quot;"/>
    <numFmt numFmtId="204" formatCode="_(* #,##0.0_);_(* \(#,##0.0\);_(* &quot;-&quot;??_);_(@_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Calibri"/>
      <family val="2"/>
    </font>
    <font>
      <sz val="12"/>
      <name val="Arial Narrow"/>
      <family val="2"/>
    </font>
    <font>
      <sz val="1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mbria"/>
      <family val="1"/>
    </font>
    <font>
      <i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Cambria"/>
      <family val="1"/>
    </font>
    <font>
      <u val="single"/>
      <sz val="7.7"/>
      <color indexed="20"/>
      <name val="Calibri"/>
      <family val="2"/>
    </font>
    <font>
      <b/>
      <sz val="11"/>
      <color indexed="10"/>
      <name val="Arial"/>
      <family val="2"/>
    </font>
    <font>
      <b/>
      <sz val="25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000000"/>
      <name val="Cambria"/>
      <family val="1"/>
    </font>
    <font>
      <i/>
      <sz val="12"/>
      <color rgb="FF000000"/>
      <name val="Cambria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C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i/>
      <sz val="12"/>
      <color rgb="FF000000"/>
      <name val="Cambria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</borders>
  <cellStyleXfs count="4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21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85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299" applyFont="1" applyFill="1" applyAlignment="1">
      <alignment vertical="center" wrapText="1"/>
      <protection/>
    </xf>
    <xf numFmtId="0" fontId="3" fillId="0" borderId="0" xfId="299" applyFont="1" applyFill="1" applyAlignment="1">
      <alignment horizontal="center" vertical="center" wrapText="1"/>
      <protection/>
    </xf>
    <xf numFmtId="0" fontId="3" fillId="0" borderId="0" xfId="299" applyFont="1" applyFill="1" applyAlignment="1">
      <alignment horizontal="left" vertical="center" wrapText="1"/>
      <protection/>
    </xf>
    <xf numFmtId="0" fontId="6" fillId="0" borderId="0" xfId="0" applyFont="1" applyBorder="1" applyAlignment="1">
      <alignment vertical="center" wrapText="1"/>
    </xf>
    <xf numFmtId="171" fontId="9" fillId="0" borderId="0" xfId="432" applyFont="1" applyFill="1" applyAlignment="1">
      <alignment/>
    </xf>
    <xf numFmtId="0" fontId="9" fillId="0" borderId="0" xfId="296" applyFont="1" applyFill="1">
      <alignment/>
      <protection/>
    </xf>
    <xf numFmtId="0" fontId="9" fillId="0" borderId="10" xfId="296" applyFont="1" applyFill="1" applyBorder="1" applyAlignment="1">
      <alignment vertical="center"/>
      <protection/>
    </xf>
    <xf numFmtId="43" fontId="9" fillId="0" borderId="10" xfId="432" applyNumberFormat="1" applyFont="1" applyFill="1" applyBorder="1" applyAlignment="1">
      <alignment horizontal="right" vertical="center"/>
    </xf>
    <xf numFmtId="43" fontId="9" fillId="0" borderId="10" xfId="296" applyNumberFormat="1" applyFont="1" applyFill="1" applyBorder="1" applyAlignment="1">
      <alignment horizontal="right" vertical="center"/>
      <protection/>
    </xf>
    <xf numFmtId="0" fontId="9" fillId="0" borderId="10" xfId="296" applyFont="1" applyFill="1" applyBorder="1" applyAlignment="1">
      <alignment horizontal="right" vertical="center"/>
      <protection/>
    </xf>
    <xf numFmtId="10" fontId="9" fillId="0" borderId="10" xfId="432" applyNumberFormat="1" applyFont="1" applyFill="1" applyBorder="1" applyAlignment="1">
      <alignment horizontal="right" vertical="center"/>
    </xf>
    <xf numFmtId="10" fontId="9" fillId="0" borderId="10" xfId="296" applyNumberFormat="1" applyFont="1" applyFill="1" applyBorder="1" applyAlignment="1">
      <alignment horizontal="center" vertical="center"/>
      <protection/>
    </xf>
    <xf numFmtId="171" fontId="10" fillId="0" borderId="0" xfId="432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2" fontId="3" fillId="0" borderId="11" xfId="52" applyNumberFormat="1" applyFont="1" applyFill="1" applyBorder="1" applyAlignment="1">
      <alignment horizontal="left" vertical="center" wrapText="1"/>
      <protection/>
    </xf>
    <xf numFmtId="0" fontId="9" fillId="0" borderId="12" xfId="296" applyFont="1" applyFill="1" applyBorder="1" applyAlignment="1">
      <alignment vertical="center"/>
      <protection/>
    </xf>
    <xf numFmtId="171" fontId="9" fillId="0" borderId="12" xfId="296" applyNumberFormat="1" applyFont="1" applyFill="1" applyBorder="1" applyAlignment="1">
      <alignment horizontal="right" vertical="center"/>
      <protection/>
    </xf>
    <xf numFmtId="43" fontId="9" fillId="0" borderId="12" xfId="432" applyNumberFormat="1" applyFont="1" applyFill="1" applyBorder="1" applyAlignment="1">
      <alignment horizontal="right" vertical="center"/>
    </xf>
    <xf numFmtId="43" fontId="9" fillId="0" borderId="12" xfId="296" applyNumberFormat="1" applyFont="1" applyFill="1" applyBorder="1" applyAlignment="1">
      <alignment horizontal="right" vertical="center"/>
      <protection/>
    </xf>
    <xf numFmtId="0" fontId="9" fillId="0" borderId="12" xfId="296" applyFont="1" applyFill="1" applyBorder="1" applyAlignment="1">
      <alignment horizontal="center" vertical="center"/>
      <protection/>
    </xf>
    <xf numFmtId="171" fontId="9" fillId="0" borderId="12" xfId="432" applyFont="1" applyFill="1" applyBorder="1" applyAlignment="1">
      <alignment horizontal="right" vertical="center"/>
    </xf>
    <xf numFmtId="10" fontId="3" fillId="0" borderId="0" xfId="0" applyNumberFormat="1" applyFont="1" applyFill="1" applyAlignment="1">
      <alignment horizontal="center" vertical="center" wrapText="1"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10" fontId="3" fillId="0" borderId="11" xfId="52" applyNumberFormat="1" applyFont="1" applyFill="1" applyBorder="1" applyAlignment="1">
      <alignment horizontal="center" vertical="center" wrapText="1"/>
      <protection/>
    </xf>
    <xf numFmtId="10" fontId="6" fillId="0" borderId="0" xfId="0" applyNumberFormat="1" applyFont="1" applyAlignment="1">
      <alignment horizontal="center" vertical="center" wrapText="1"/>
    </xf>
    <xf numFmtId="10" fontId="3" fillId="0" borderId="0" xfId="299" applyNumberFormat="1" applyFont="1" applyFill="1" applyAlignment="1">
      <alignment horizontal="center" vertical="center" wrapText="1"/>
      <protection/>
    </xf>
    <xf numFmtId="0" fontId="11" fillId="0" borderId="10" xfId="296" applyFont="1" applyFill="1" applyBorder="1" applyAlignment="1">
      <alignment vertical="center"/>
      <protection/>
    </xf>
    <xf numFmtId="0" fontId="6" fillId="0" borderId="0" xfId="195" applyFont="1" applyAlignment="1">
      <alignment vertical="center"/>
      <protection/>
    </xf>
    <xf numFmtId="4" fontId="3" fillId="0" borderId="0" xfId="31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3" fillId="0" borderId="0" xfId="299" applyNumberFormat="1" applyFont="1" applyFill="1" applyAlignment="1">
      <alignment horizontal="center" vertical="center" wrapText="1"/>
      <protection/>
    </xf>
    <xf numFmtId="4" fontId="3" fillId="0" borderId="0" xfId="310" applyNumberFormat="1" applyFont="1" applyFill="1" applyAlignment="1">
      <alignment horizontal="right" vertical="center" wrapText="1"/>
    </xf>
    <xf numFmtId="4" fontId="3" fillId="0" borderId="11" xfId="52" applyNumberFormat="1" applyFont="1" applyFill="1" applyBorder="1" applyAlignment="1">
      <alignment horizontal="right" vertical="center" wrapText="1"/>
      <protection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3" fillId="0" borderId="0" xfId="299" applyFont="1" applyFill="1" applyBorder="1" applyAlignment="1">
      <alignment/>
      <protection/>
    </xf>
    <xf numFmtId="0" fontId="2" fillId="0" borderId="0" xfId="299" applyFont="1" applyFill="1" applyBorder="1" applyAlignment="1">
      <alignment/>
      <protection/>
    </xf>
    <xf numFmtId="0" fontId="2" fillId="0" borderId="0" xfId="299" applyFont="1" applyFill="1" applyBorder="1" applyAlignment="1">
      <alignment vertical="top"/>
      <protection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wrapText="1"/>
    </xf>
    <xf numFmtId="4" fontId="3" fillId="0" borderId="0" xfId="299" applyNumberFormat="1" applyFont="1" applyFill="1" applyBorder="1" applyAlignment="1">
      <alignment/>
      <protection/>
    </xf>
    <xf numFmtId="0" fontId="2" fillId="0" borderId="0" xfId="299" applyFont="1" applyFill="1" applyBorder="1" applyAlignment="1">
      <alignment horizontal="left" wrapText="1"/>
      <protection/>
    </xf>
    <xf numFmtId="0" fontId="2" fillId="0" borderId="0" xfId="299" applyFont="1" applyFill="1" applyBorder="1" applyAlignment="1">
      <alignment horizontal="left" vertical="top" wrapText="1"/>
      <protection/>
    </xf>
    <xf numFmtId="0" fontId="3" fillId="0" borderId="0" xfId="299" applyFont="1" applyFill="1" applyBorder="1" applyAlignment="1">
      <alignment horizontal="left" wrapText="1"/>
      <protection/>
    </xf>
    <xf numFmtId="4" fontId="3" fillId="34" borderId="0" xfId="310" applyNumberFormat="1" applyFont="1" applyFill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Alignment="1">
      <alignment horizontal="right" vertical="center" wrapText="1"/>
    </xf>
    <xf numFmtId="4" fontId="3" fillId="34" borderId="0" xfId="299" applyNumberFormat="1" applyFont="1" applyFill="1" applyAlignment="1">
      <alignment horizontal="right" vertical="center" wrapText="1"/>
      <protection/>
    </xf>
    <xf numFmtId="0" fontId="3" fillId="34" borderId="0" xfId="299" applyFont="1" applyFill="1" applyBorder="1" applyAlignment="1">
      <alignment/>
      <protection/>
    </xf>
    <xf numFmtId="0" fontId="2" fillId="34" borderId="0" xfId="299" applyFont="1" applyFill="1" applyBorder="1" applyAlignment="1">
      <alignment/>
      <protection/>
    </xf>
    <xf numFmtId="4" fontId="6" fillId="34" borderId="0" xfId="0" applyNumberFormat="1" applyFont="1" applyFill="1" applyAlignment="1">
      <alignment horizontal="right" vertical="center"/>
    </xf>
    <xf numFmtId="4" fontId="4" fillId="0" borderId="13" xfId="298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16" fillId="0" borderId="10" xfId="296" applyFont="1" applyFill="1" applyBorder="1" applyAlignment="1">
      <alignment horizontal="center" vertical="center" wrapText="1"/>
      <protection/>
    </xf>
    <xf numFmtId="0" fontId="11" fillId="0" borderId="12" xfId="296" applyFont="1" applyFill="1" applyBorder="1" applyAlignment="1">
      <alignment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3" fillId="34" borderId="0" xfId="310" applyNumberFormat="1" applyFont="1" applyFill="1" applyBorder="1" applyAlignment="1">
      <alignment horizontal="right" vertical="center" wrapText="1"/>
    </xf>
    <xf numFmtId="4" fontId="3" fillId="34" borderId="0" xfId="310" applyNumberFormat="1" applyFont="1" applyFill="1" applyBorder="1" applyAlignment="1">
      <alignment horizontal="center" vertical="center" wrapText="1"/>
    </xf>
    <xf numFmtId="10" fontId="3" fillId="34" borderId="0" xfId="0" applyNumberFormat="1" applyFont="1" applyFill="1" applyBorder="1" applyAlignment="1">
      <alignment horizontal="center" vertical="center" wrapText="1"/>
    </xf>
    <xf numFmtId="0" fontId="3" fillId="34" borderId="0" xfId="296" applyFont="1" applyFill="1" applyBorder="1" applyAlignment="1">
      <alignment vertical="center"/>
      <protection/>
    </xf>
    <xf numFmtId="0" fontId="3" fillId="34" borderId="0" xfId="296" applyFont="1" applyFill="1" applyBorder="1" applyAlignment="1">
      <alignment horizontal="center" vertical="center"/>
      <protection/>
    </xf>
    <xf numFmtId="0" fontId="9" fillId="34" borderId="0" xfId="296" applyFont="1" applyFill="1" applyAlignment="1">
      <alignment vertical="center"/>
      <protection/>
    </xf>
    <xf numFmtId="171" fontId="9" fillId="34" borderId="0" xfId="432" applyFont="1" applyFill="1" applyAlignment="1">
      <alignment vertical="center"/>
    </xf>
    <xf numFmtId="9" fontId="9" fillId="0" borderId="10" xfId="301" applyFont="1" applyFill="1" applyBorder="1" applyAlignment="1">
      <alignment horizontal="right" vertical="center"/>
    </xf>
    <xf numFmtId="9" fontId="9" fillId="0" borderId="10" xfId="301" applyFont="1" applyFill="1" applyBorder="1" applyAlignment="1">
      <alignment horizontal="center" vertical="center"/>
    </xf>
    <xf numFmtId="0" fontId="10" fillId="34" borderId="0" xfId="296" applyFont="1" applyFill="1">
      <alignment/>
      <protection/>
    </xf>
    <xf numFmtId="171" fontId="10" fillId="34" borderId="0" xfId="432" applyFont="1" applyFill="1" applyAlignment="1">
      <alignment/>
    </xf>
    <xf numFmtId="0" fontId="3" fillId="34" borderId="0" xfId="299" applyFont="1" applyFill="1" applyAlignment="1">
      <alignment horizontal="center" vertical="center" wrapText="1"/>
      <protection/>
    </xf>
    <xf numFmtId="171" fontId="3" fillId="34" borderId="0" xfId="321" applyFont="1" applyFill="1" applyAlignment="1">
      <alignment vertical="center" wrapText="1"/>
    </xf>
    <xf numFmtId="0" fontId="3" fillId="34" borderId="0" xfId="299" applyFont="1" applyFill="1" applyAlignment="1">
      <alignment vertical="center" wrapText="1"/>
      <protection/>
    </xf>
    <xf numFmtId="171" fontId="3" fillId="34" borderId="0" xfId="321" applyNumberFormat="1" applyFont="1" applyFill="1" applyAlignment="1">
      <alignment vertical="center" wrapText="1"/>
    </xf>
    <xf numFmtId="43" fontId="3" fillId="34" borderId="0" xfId="299" applyNumberFormat="1" applyFont="1" applyFill="1" applyAlignment="1">
      <alignment horizontal="right" vertical="center" wrapText="1"/>
      <protection/>
    </xf>
    <xf numFmtId="0" fontId="3" fillId="34" borderId="0" xfId="299" applyFont="1" applyFill="1" applyBorder="1" applyAlignment="1">
      <alignment horizontal="left" vertical="center" wrapText="1"/>
      <protection/>
    </xf>
    <xf numFmtId="0" fontId="9" fillId="34" borderId="0" xfId="296" applyFont="1" applyFill="1">
      <alignment/>
      <protection/>
    </xf>
    <xf numFmtId="171" fontId="9" fillId="34" borderId="0" xfId="432" applyFont="1" applyFill="1" applyAlignment="1">
      <alignment/>
    </xf>
    <xf numFmtId="0" fontId="3" fillId="34" borderId="0" xfId="299" applyFont="1" applyFill="1" applyBorder="1" applyAlignment="1">
      <alignment horizontal="left"/>
      <protection/>
    </xf>
    <xf numFmtId="0" fontId="3" fillId="34" borderId="0" xfId="299" applyNumberFormat="1" applyFont="1" applyFill="1" applyBorder="1" applyAlignment="1">
      <alignment/>
      <protection/>
    </xf>
    <xf numFmtId="0" fontId="2" fillId="34" borderId="0" xfId="299" applyFont="1" applyFill="1" applyBorder="1" applyAlignment="1">
      <alignment horizontal="left" vertical="center"/>
      <protection/>
    </xf>
    <xf numFmtId="171" fontId="9" fillId="34" borderId="0" xfId="432" applyFont="1" applyFill="1" applyAlignment="1">
      <alignment horizontal="left"/>
    </xf>
    <xf numFmtId="0" fontId="2" fillId="34" borderId="0" xfId="299" applyFont="1" applyFill="1" applyBorder="1" applyAlignment="1">
      <alignment horizontal="left" vertical="top"/>
      <protection/>
    </xf>
    <xf numFmtId="0" fontId="0" fillId="34" borderId="0" xfId="0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4" fontId="3" fillId="0" borderId="0" xfId="311" applyNumberFormat="1" applyFont="1" applyFill="1" applyAlignment="1">
      <alignment horizontal="right" vertical="center" wrapText="1"/>
    </xf>
    <xf numFmtId="4" fontId="3" fillId="34" borderId="0" xfId="311" applyNumberFormat="1" applyFont="1" applyFill="1" applyAlignment="1">
      <alignment horizontal="right" vertical="center" wrapText="1"/>
    </xf>
    <xf numFmtId="4" fontId="3" fillId="0" borderId="0" xfId="311" applyNumberFormat="1" applyFont="1" applyFill="1" applyAlignment="1">
      <alignment horizontal="center" vertical="center" wrapText="1"/>
    </xf>
    <xf numFmtId="172" fontId="8" fillId="0" borderId="0" xfId="53" applyNumberFormat="1" applyFont="1" applyFill="1" applyBorder="1" applyAlignment="1">
      <alignment vertical="center" wrapText="1"/>
      <protection/>
    </xf>
    <xf numFmtId="172" fontId="3" fillId="0" borderId="0" xfId="53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" fontId="3" fillId="0" borderId="0" xfId="53" applyNumberFormat="1" applyFont="1" applyFill="1" applyBorder="1" applyAlignment="1">
      <alignment horizontal="right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10" fontId="3" fillId="0" borderId="0" xfId="53" applyNumberFormat="1" applyFont="1" applyFill="1" applyBorder="1" applyAlignment="1">
      <alignment horizontal="center" vertical="center" wrapText="1"/>
      <protection/>
    </xf>
    <xf numFmtId="172" fontId="12" fillId="35" borderId="0" xfId="53" applyNumberFormat="1" applyFont="1" applyFill="1" applyBorder="1" applyAlignment="1">
      <alignment vertical="center" wrapText="1"/>
      <protection/>
    </xf>
    <xf numFmtId="0" fontId="0" fillId="34" borderId="0" xfId="0" applyFill="1" applyAlignment="1">
      <alignment/>
    </xf>
    <xf numFmtId="184" fontId="80" fillId="36" borderId="10" xfId="0" applyNumberFormat="1" applyFont="1" applyFill="1" applyBorder="1" applyAlignment="1">
      <alignment horizontal="right" vertical="top" wrapText="1"/>
    </xf>
    <xf numFmtId="0" fontId="81" fillId="34" borderId="0" xfId="0" applyFont="1" applyFill="1" applyBorder="1" applyAlignment="1">
      <alignment vertical="top" wrapText="1"/>
    </xf>
    <xf numFmtId="2" fontId="81" fillId="34" borderId="0" xfId="0" applyNumberFormat="1" applyFont="1" applyFill="1" applyBorder="1" applyAlignment="1">
      <alignment horizontal="center" vertical="top" wrapText="1"/>
    </xf>
    <xf numFmtId="2" fontId="0" fillId="34" borderId="0" xfId="0" applyNumberFormat="1" applyFill="1" applyBorder="1" applyAlignment="1">
      <alignment/>
    </xf>
    <xf numFmtId="184" fontId="80" fillId="36" borderId="0" xfId="0" applyNumberFormat="1" applyFont="1" applyFill="1" applyBorder="1" applyAlignment="1">
      <alignment horizontal="right" vertical="top" wrapText="1"/>
    </xf>
    <xf numFmtId="0" fontId="80" fillId="34" borderId="0" xfId="0" applyFont="1" applyFill="1" applyBorder="1" applyAlignment="1">
      <alignment vertical="top" wrapText="1"/>
    </xf>
    <xf numFmtId="2" fontId="80" fillId="34" borderId="0" xfId="0" applyNumberFormat="1" applyFont="1" applyFill="1" applyBorder="1" applyAlignment="1">
      <alignment horizontal="center" vertical="top" wrapText="1"/>
    </xf>
    <xf numFmtId="0" fontId="82" fillId="0" borderId="0" xfId="0" applyFont="1" applyAlignment="1">
      <alignment horizontal="justify"/>
    </xf>
    <xf numFmtId="0" fontId="83" fillId="34" borderId="0" xfId="0" applyFont="1" applyFill="1" applyBorder="1" applyAlignment="1">
      <alignment horizontal="right"/>
    </xf>
    <xf numFmtId="2" fontId="83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2" fontId="0" fillId="34" borderId="0" xfId="0" applyNumberFormat="1" applyFill="1" applyBorder="1" applyAlignment="1">
      <alignment horizontal="left"/>
    </xf>
    <xf numFmtId="0" fontId="0" fillId="37" borderId="18" xfId="0" applyFill="1" applyBorder="1" applyAlignment="1">
      <alignment/>
    </xf>
    <xf numFmtId="2" fontId="83" fillId="37" borderId="19" xfId="0" applyNumberFormat="1" applyFont="1" applyFill="1" applyBorder="1" applyAlignment="1">
      <alignment horizontal="right"/>
    </xf>
    <xf numFmtId="2" fontId="83" fillId="37" borderId="19" xfId="0" applyNumberFormat="1" applyFont="1" applyFill="1" applyBorder="1" applyAlignment="1">
      <alignment horizontal="left"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0" borderId="11" xfId="0" applyBorder="1" applyAlignment="1">
      <alignment horizontal="left" vertical="center" wrapText="1"/>
    </xf>
    <xf numFmtId="10" fontId="4" fillId="0" borderId="10" xfId="30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wrapText="1"/>
    </xf>
    <xf numFmtId="0" fontId="6" fillId="3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4" fontId="10" fillId="34" borderId="0" xfId="296" applyNumberFormat="1" applyFont="1" applyFill="1">
      <alignment/>
      <protection/>
    </xf>
    <xf numFmtId="10" fontId="9" fillId="0" borderId="10" xfId="301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1" fontId="0" fillId="0" borderId="0" xfId="308" applyFont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33" borderId="21" xfId="308" applyNumberFormat="1" applyFont="1" applyFill="1" applyBorder="1" applyAlignment="1">
      <alignment wrapText="1"/>
    </xf>
    <xf numFmtId="171" fontId="17" fillId="33" borderId="12" xfId="308" applyFont="1" applyFill="1" applyBorder="1" applyAlignment="1">
      <alignment wrapText="1"/>
    </xf>
    <xf numFmtId="0" fontId="17" fillId="33" borderId="12" xfId="308" applyNumberFormat="1" applyFont="1" applyFill="1" applyBorder="1" applyAlignment="1">
      <alignment wrapText="1"/>
    </xf>
    <xf numFmtId="0" fontId="17" fillId="33" borderId="22" xfId="308" applyNumberFormat="1" applyFont="1" applyFill="1" applyBorder="1" applyAlignment="1">
      <alignment wrapText="1"/>
    </xf>
    <xf numFmtId="0" fontId="17" fillId="33" borderId="21" xfId="308" applyNumberFormat="1" applyFont="1" applyFill="1" applyBorder="1" applyAlignment="1">
      <alignment vertical="center" wrapText="1"/>
    </xf>
    <xf numFmtId="171" fontId="17" fillId="33" borderId="12" xfId="308" applyFont="1" applyFill="1" applyBorder="1" applyAlignment="1">
      <alignment vertical="center" wrapText="1"/>
    </xf>
    <xf numFmtId="0" fontId="17" fillId="33" borderId="12" xfId="308" applyNumberFormat="1" applyFont="1" applyFill="1" applyBorder="1" applyAlignment="1">
      <alignment vertical="center" wrapText="1"/>
    </xf>
    <xf numFmtId="0" fontId="17" fillId="33" borderId="22" xfId="308" applyNumberFormat="1" applyFont="1" applyFill="1" applyBorder="1" applyAlignment="1">
      <alignment vertical="center" wrapText="1"/>
    </xf>
    <xf numFmtId="0" fontId="19" fillId="33" borderId="21" xfId="0" applyFont="1" applyFill="1" applyBorder="1" applyAlignment="1">
      <alignment horizontal="left" wrapText="1"/>
    </xf>
    <xf numFmtId="0" fontId="6" fillId="0" borderId="21" xfId="0" applyNumberFormat="1" applyFont="1" applyBorder="1" applyAlignment="1">
      <alignment horizontal="left" wrapText="1"/>
    </xf>
    <xf numFmtId="171" fontId="17" fillId="33" borderId="10" xfId="308" applyFont="1" applyFill="1" applyBorder="1" applyAlignment="1">
      <alignment vertical="center" wrapText="1"/>
    </xf>
    <xf numFmtId="171" fontId="17" fillId="33" borderId="22" xfId="308" applyFont="1" applyFill="1" applyBorder="1" applyAlignment="1">
      <alignment vertical="center" wrapText="1"/>
    </xf>
    <xf numFmtId="171" fontId="84" fillId="33" borderId="10" xfId="308" applyFont="1" applyFill="1" applyBorder="1" applyAlignment="1">
      <alignment vertical="center" wrapText="1"/>
    </xf>
    <xf numFmtId="0" fontId="17" fillId="0" borderId="21" xfId="308" applyNumberFormat="1" applyFont="1" applyFill="1" applyBorder="1" applyAlignment="1">
      <alignment vertical="center" wrapText="1"/>
    </xf>
    <xf numFmtId="171" fontId="17" fillId="0" borderId="10" xfId="308" applyFont="1" applyFill="1" applyBorder="1" applyAlignment="1">
      <alignment vertical="center" wrapText="1"/>
    </xf>
    <xf numFmtId="0" fontId="19" fillId="38" borderId="21" xfId="308" applyNumberFormat="1" applyFont="1" applyFill="1" applyBorder="1" applyAlignment="1">
      <alignment vertical="center" wrapText="1"/>
    </xf>
    <xf numFmtId="171" fontId="19" fillId="38" borderId="23" xfId="308" applyFont="1" applyFill="1" applyBorder="1" applyAlignment="1">
      <alignment vertical="center" wrapText="1"/>
    </xf>
    <xf numFmtId="171" fontId="17" fillId="33" borderId="24" xfId="308" applyFont="1" applyFill="1" applyBorder="1" applyAlignment="1">
      <alignment vertical="center" wrapText="1"/>
    </xf>
    <xf numFmtId="171" fontId="19" fillId="38" borderId="10" xfId="308" applyFont="1" applyFill="1" applyBorder="1" applyAlignment="1">
      <alignment vertical="center" wrapText="1"/>
    </xf>
    <xf numFmtId="171" fontId="19" fillId="38" borderId="12" xfId="308" applyFont="1" applyFill="1" applyBorder="1" applyAlignment="1">
      <alignment vertical="center" wrapText="1"/>
    </xf>
    <xf numFmtId="0" fontId="17" fillId="33" borderId="21" xfId="308" applyNumberFormat="1" applyFont="1" applyFill="1" applyBorder="1" applyAlignment="1">
      <alignment horizontal="left" vertical="center" wrapText="1"/>
    </xf>
    <xf numFmtId="171" fontId="19" fillId="38" borderId="10" xfId="308" applyFont="1" applyFill="1" applyBorder="1" applyAlignment="1">
      <alignment horizontal="left" vertical="center" wrapText="1"/>
    </xf>
    <xf numFmtId="0" fontId="17" fillId="33" borderId="12" xfId="308" applyNumberFormat="1" applyFont="1" applyFill="1" applyBorder="1" applyAlignment="1">
      <alignment horizontal="left" vertical="center" wrapText="1"/>
    </xf>
    <xf numFmtId="0" fontId="17" fillId="33" borderId="22" xfId="308" applyNumberFormat="1" applyFont="1" applyFill="1" applyBorder="1" applyAlignment="1">
      <alignment horizontal="left" vertical="center" wrapText="1"/>
    </xf>
    <xf numFmtId="171" fontId="17" fillId="33" borderId="12" xfId="308" applyFont="1" applyFill="1" applyBorder="1" applyAlignment="1">
      <alignment horizontal="left" vertical="center" wrapText="1"/>
    </xf>
    <xf numFmtId="171" fontId="0" fillId="0" borderId="10" xfId="308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1" fontId="79" fillId="38" borderId="10" xfId="308" applyFont="1" applyFill="1" applyBorder="1" applyAlignment="1">
      <alignment/>
    </xf>
    <xf numFmtId="171" fontId="19" fillId="33" borderId="10" xfId="308" applyFont="1" applyFill="1" applyBorder="1" applyAlignment="1">
      <alignment vertical="center" wrapText="1"/>
    </xf>
    <xf numFmtId="0" fontId="17" fillId="38" borderId="21" xfId="308" applyNumberFormat="1" applyFont="1" applyFill="1" applyBorder="1" applyAlignment="1">
      <alignment vertical="center" wrapText="1"/>
    </xf>
    <xf numFmtId="171" fontId="84" fillId="38" borderId="10" xfId="308" applyFont="1" applyFill="1" applyBorder="1" applyAlignment="1">
      <alignment vertical="center" wrapText="1"/>
    </xf>
    <xf numFmtId="0" fontId="17" fillId="38" borderId="21" xfId="308" applyNumberFormat="1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17" fillId="38" borderId="21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171" fontId="17" fillId="33" borderId="12" xfId="308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0" fontId="17" fillId="33" borderId="22" xfId="0" applyFont="1" applyFill="1" applyBorder="1" applyAlignment="1">
      <alignment horizontal="left" wrapText="1"/>
    </xf>
    <xf numFmtId="0" fontId="17" fillId="0" borderId="10" xfId="308" applyNumberFormat="1" applyFont="1" applyFill="1" applyBorder="1" applyAlignment="1">
      <alignment horizontal="left" vertical="center" wrapText="1"/>
    </xf>
    <xf numFmtId="0" fontId="73" fillId="39" borderId="0" xfId="0" applyFont="1" applyFill="1" applyAlignment="1">
      <alignment/>
    </xf>
    <xf numFmtId="0" fontId="73" fillId="39" borderId="10" xfId="0" applyFont="1" applyFill="1" applyBorder="1" applyAlignment="1">
      <alignment horizontal="center"/>
    </xf>
    <xf numFmtId="171" fontId="73" fillId="39" borderId="0" xfId="308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21" xfId="321" applyNumberFormat="1" applyFont="1" applyFill="1" applyBorder="1" applyAlignment="1">
      <alignment horizontal="left" vertical="center" wrapText="1"/>
    </xf>
    <xf numFmtId="0" fontId="73" fillId="0" borderId="12" xfId="321" applyNumberFormat="1" applyFont="1" applyFill="1" applyBorder="1" applyAlignment="1">
      <alignment horizontal="left" vertical="center" wrapText="1"/>
    </xf>
    <xf numFmtId="0" fontId="73" fillId="0" borderId="22" xfId="321" applyNumberFormat="1" applyFont="1" applyFill="1" applyBorder="1" applyAlignment="1">
      <alignment horizontal="left" vertical="center" wrapText="1"/>
    </xf>
    <xf numFmtId="171" fontId="73" fillId="0" borderId="0" xfId="308" applyFont="1" applyFill="1" applyAlignment="1">
      <alignment/>
    </xf>
    <xf numFmtId="0" fontId="17" fillId="0" borderId="0" xfId="299" applyFont="1" applyFill="1" applyAlignment="1">
      <alignment horizontal="left" vertical="center" wrapText="1"/>
      <protection/>
    </xf>
    <xf numFmtId="171" fontId="0" fillId="0" borderId="0" xfId="443" applyFont="1" applyAlignment="1">
      <alignment/>
    </xf>
    <xf numFmtId="171" fontId="19" fillId="0" borderId="12" xfId="308" applyFont="1" applyFill="1" applyBorder="1" applyAlignment="1">
      <alignment vertical="center" wrapText="1"/>
    </xf>
    <xf numFmtId="0" fontId="17" fillId="33" borderId="10" xfId="308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171" fontId="73" fillId="0" borderId="0" xfId="308" applyFont="1" applyAlignment="1">
      <alignment/>
    </xf>
    <xf numFmtId="0" fontId="73" fillId="38" borderId="21" xfId="0" applyFont="1" applyFill="1" applyBorder="1" applyAlignment="1">
      <alignment wrapText="1"/>
    </xf>
    <xf numFmtId="171" fontId="85" fillId="38" borderId="12" xfId="308" applyFont="1" applyFill="1" applyBorder="1" applyAlignment="1">
      <alignment wrapText="1"/>
    </xf>
    <xf numFmtId="0" fontId="73" fillId="33" borderId="12" xfId="0" applyFont="1" applyFill="1" applyBorder="1" applyAlignment="1">
      <alignment wrapText="1"/>
    </xf>
    <xf numFmtId="0" fontId="73" fillId="33" borderId="22" xfId="0" applyFont="1" applyFill="1" applyBorder="1" applyAlignment="1">
      <alignment wrapText="1"/>
    </xf>
    <xf numFmtId="171" fontId="85" fillId="0" borderId="0" xfId="308" applyFont="1" applyAlignment="1">
      <alignment/>
    </xf>
    <xf numFmtId="43" fontId="73" fillId="0" borderId="0" xfId="0" applyNumberFormat="1" applyFont="1" applyAlignment="1">
      <alignment/>
    </xf>
    <xf numFmtId="0" fontId="85" fillId="0" borderId="10" xfId="0" applyFont="1" applyFill="1" applyBorder="1" applyAlignment="1">
      <alignment horizontal="center"/>
    </xf>
    <xf numFmtId="0" fontId="73" fillId="0" borderId="21" xfId="0" applyNumberFormat="1" applyFont="1" applyBorder="1" applyAlignment="1">
      <alignment horizontal="left" vertical="center" wrapText="1"/>
    </xf>
    <xf numFmtId="171" fontId="73" fillId="0" borderId="12" xfId="308" applyFont="1" applyBorder="1" applyAlignment="1">
      <alignment horizontal="left" vertical="center" wrapText="1"/>
    </xf>
    <xf numFmtId="0" fontId="73" fillId="0" borderId="12" xfId="0" applyNumberFormat="1" applyFont="1" applyBorder="1" applyAlignment="1">
      <alignment horizontal="left" vertical="center" wrapText="1"/>
    </xf>
    <xf numFmtId="0" fontId="73" fillId="0" borderId="22" xfId="0" applyNumberFormat="1" applyFont="1" applyBorder="1" applyAlignment="1">
      <alignment horizontal="left" vertical="center" wrapText="1"/>
    </xf>
    <xf numFmtId="0" fontId="73" fillId="33" borderId="21" xfId="0" applyNumberFormat="1" applyFont="1" applyFill="1" applyBorder="1" applyAlignment="1">
      <alignment horizontal="left" vertical="center" wrapText="1"/>
    </xf>
    <xf numFmtId="171" fontId="73" fillId="33" borderId="12" xfId="308" applyFont="1" applyFill="1" applyBorder="1" applyAlignment="1">
      <alignment horizontal="left" vertical="center" wrapText="1"/>
    </xf>
    <xf numFmtId="0" fontId="73" fillId="33" borderId="12" xfId="0" applyNumberFormat="1" applyFont="1" applyFill="1" applyBorder="1" applyAlignment="1">
      <alignment horizontal="left" vertical="center" wrapText="1"/>
    </xf>
    <xf numFmtId="0" fontId="73" fillId="33" borderId="22" xfId="0" applyNumberFormat="1" applyFont="1" applyFill="1" applyBorder="1" applyAlignment="1">
      <alignment horizontal="left" vertical="center" wrapText="1"/>
    </xf>
    <xf numFmtId="171" fontId="73" fillId="33" borderId="0" xfId="308" applyFont="1" applyFill="1" applyBorder="1" applyAlignment="1">
      <alignment/>
    </xf>
    <xf numFmtId="171" fontId="73" fillId="38" borderId="10" xfId="308" applyFont="1" applyFill="1" applyBorder="1" applyAlignment="1">
      <alignment horizontal="left"/>
    </xf>
    <xf numFmtId="171" fontId="85" fillId="38" borderId="10" xfId="308" applyFont="1" applyFill="1" applyBorder="1" applyAlignment="1">
      <alignment horizontal="left" vertical="center" wrapText="1"/>
    </xf>
    <xf numFmtId="0" fontId="73" fillId="0" borderId="10" xfId="0" applyNumberFormat="1" applyFont="1" applyBorder="1" applyAlignment="1">
      <alignment horizontal="left" vertical="center" wrapText="1"/>
    </xf>
    <xf numFmtId="0" fontId="85" fillId="0" borderId="10" xfId="0" applyNumberFormat="1" applyFont="1" applyBorder="1" applyAlignment="1">
      <alignment horizontal="left" vertical="center" wrapText="1"/>
    </xf>
    <xf numFmtId="171" fontId="73" fillId="0" borderId="10" xfId="308" applyFont="1" applyBorder="1" applyAlignment="1">
      <alignment horizontal="left"/>
    </xf>
    <xf numFmtId="171" fontId="85" fillId="0" borderId="10" xfId="308" applyFont="1" applyBorder="1" applyAlignment="1">
      <alignment horizontal="left" vertical="center" wrapText="1"/>
    </xf>
    <xf numFmtId="0" fontId="73" fillId="33" borderId="21" xfId="308" applyNumberFormat="1" applyFont="1" applyFill="1" applyBorder="1" applyAlignment="1">
      <alignment vertical="center" wrapText="1"/>
    </xf>
    <xf numFmtId="171" fontId="73" fillId="33" borderId="10" xfId="308" applyFont="1" applyFill="1" applyBorder="1" applyAlignment="1">
      <alignment vertical="center" wrapText="1"/>
    </xf>
    <xf numFmtId="171" fontId="73" fillId="0" borderId="10" xfId="308" applyFont="1" applyBorder="1" applyAlignment="1">
      <alignment/>
    </xf>
    <xf numFmtId="0" fontId="85" fillId="0" borderId="22" xfId="0" applyNumberFormat="1" applyFont="1" applyBorder="1" applyAlignment="1">
      <alignment horizontal="left" vertical="center" wrapText="1"/>
    </xf>
    <xf numFmtId="0" fontId="73" fillId="38" borderId="21" xfId="308" applyNumberFormat="1" applyFont="1" applyFill="1" applyBorder="1" applyAlignment="1">
      <alignment vertical="center" wrapText="1"/>
    </xf>
    <xf numFmtId="171" fontId="85" fillId="38" borderId="10" xfId="308" applyFont="1" applyFill="1" applyBorder="1" applyAlignment="1">
      <alignment vertical="center" wrapText="1"/>
    </xf>
    <xf numFmtId="0" fontId="73" fillId="33" borderId="0" xfId="0" applyFont="1" applyFill="1" applyAlignment="1">
      <alignment/>
    </xf>
    <xf numFmtId="0" fontId="73" fillId="0" borderId="10" xfId="0" applyFont="1" applyBorder="1" applyAlignment="1">
      <alignment/>
    </xf>
    <xf numFmtId="0" fontId="73" fillId="38" borderId="10" xfId="0" applyFont="1" applyFill="1" applyBorder="1" applyAlignment="1">
      <alignment/>
    </xf>
    <xf numFmtId="171" fontId="85" fillId="38" borderId="10" xfId="308" applyFont="1" applyFill="1" applyBorder="1" applyAlignment="1">
      <alignment/>
    </xf>
    <xf numFmtId="43" fontId="85" fillId="38" borderId="12" xfId="0" applyNumberFormat="1" applyFont="1" applyFill="1" applyBorder="1" applyAlignment="1">
      <alignment horizontal="left" vertical="center" wrapText="1"/>
    </xf>
    <xf numFmtId="0" fontId="85" fillId="0" borderId="12" xfId="0" applyNumberFormat="1" applyFont="1" applyBorder="1" applyAlignment="1">
      <alignment horizontal="left" vertical="center" wrapText="1"/>
    </xf>
    <xf numFmtId="0" fontId="73" fillId="38" borderId="21" xfId="0" applyNumberFormat="1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/>
    </xf>
    <xf numFmtId="171" fontId="73" fillId="0" borderId="10" xfId="308" applyFont="1" applyFill="1" applyBorder="1" applyAlignment="1">
      <alignment vertical="center"/>
    </xf>
    <xf numFmtId="0" fontId="73" fillId="0" borderId="10" xfId="0" applyNumberFormat="1" applyFont="1" applyBorder="1" applyAlignment="1">
      <alignment horizontal="center" wrapText="1"/>
    </xf>
    <xf numFmtId="0" fontId="73" fillId="0" borderId="10" xfId="0" applyNumberFormat="1" applyFont="1" applyBorder="1" applyAlignment="1">
      <alignment horizontal="left" wrapText="1"/>
    </xf>
    <xf numFmtId="0" fontId="73" fillId="0" borderId="10" xfId="0" applyNumberFormat="1" applyFont="1" applyBorder="1" applyAlignment="1">
      <alignment wrapText="1"/>
    </xf>
    <xf numFmtId="0" fontId="73" fillId="0" borderId="22" xfId="0" applyNumberFormat="1" applyFont="1" applyBorder="1" applyAlignment="1">
      <alignment wrapText="1"/>
    </xf>
    <xf numFmtId="0" fontId="73" fillId="0" borderId="24" xfId="0" applyFont="1" applyFill="1" applyBorder="1" applyAlignment="1">
      <alignment horizontal="center" vertical="center"/>
    </xf>
    <xf numFmtId="0" fontId="73" fillId="33" borderId="10" xfId="308" applyNumberFormat="1" applyFont="1" applyFill="1" applyBorder="1" applyAlignment="1">
      <alignment vertical="center" wrapText="1"/>
    </xf>
    <xf numFmtId="0" fontId="73" fillId="0" borderId="22" xfId="0" applyNumberFormat="1" applyFont="1" applyBorder="1" applyAlignment="1">
      <alignment horizontal="left" wrapText="1"/>
    </xf>
    <xf numFmtId="171" fontId="73" fillId="0" borderId="10" xfId="308" applyFont="1" applyBorder="1" applyAlignment="1">
      <alignment horizontal="left" wrapText="1"/>
    </xf>
    <xf numFmtId="0" fontId="73" fillId="38" borderId="10" xfId="0" applyNumberFormat="1" applyFont="1" applyFill="1" applyBorder="1" applyAlignment="1">
      <alignment horizontal="left" wrapText="1"/>
    </xf>
    <xf numFmtId="171" fontId="85" fillId="38" borderId="10" xfId="308" applyFont="1" applyFill="1" applyBorder="1" applyAlignment="1">
      <alignment horizontal="left" wrapText="1"/>
    </xf>
    <xf numFmtId="0" fontId="85" fillId="0" borderId="21" xfId="0" applyNumberFormat="1" applyFont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wrapText="1"/>
    </xf>
    <xf numFmtId="0" fontId="73" fillId="0" borderId="21" xfId="0" applyNumberFormat="1" applyFont="1" applyBorder="1" applyAlignment="1">
      <alignment horizontal="left" vertical="center"/>
    </xf>
    <xf numFmtId="0" fontId="73" fillId="0" borderId="12" xfId="0" applyNumberFormat="1" applyFont="1" applyBorder="1" applyAlignment="1">
      <alignment horizontal="left" wrapText="1"/>
    </xf>
    <xf numFmtId="0" fontId="73" fillId="38" borderId="21" xfId="0" applyNumberFormat="1" applyFont="1" applyFill="1" applyBorder="1" applyAlignment="1">
      <alignment horizontal="left" vertical="center"/>
    </xf>
    <xf numFmtId="171" fontId="73" fillId="38" borderId="12" xfId="308" applyFont="1" applyFill="1" applyBorder="1" applyAlignment="1">
      <alignment horizontal="left" vertical="center" wrapText="1"/>
    </xf>
    <xf numFmtId="171" fontId="73" fillId="0" borderId="10" xfId="308" applyFont="1" applyBorder="1" applyAlignment="1">
      <alignment horizontal="left" vertical="center" wrapText="1"/>
    </xf>
    <xf numFmtId="0" fontId="73" fillId="38" borderId="10" xfId="0" applyNumberFormat="1" applyFont="1" applyFill="1" applyBorder="1" applyAlignment="1">
      <alignment horizontal="left" vertical="center" wrapText="1"/>
    </xf>
    <xf numFmtId="171" fontId="73" fillId="38" borderId="10" xfId="308" applyFont="1" applyFill="1" applyBorder="1" applyAlignment="1">
      <alignment horizontal="left" vertical="center" wrapText="1"/>
    </xf>
    <xf numFmtId="0" fontId="73" fillId="0" borderId="0" xfId="0" applyFont="1" applyAlignment="1">
      <alignment horizontal="left"/>
    </xf>
    <xf numFmtId="171" fontId="73" fillId="0" borderId="10" xfId="308" applyFont="1" applyFill="1" applyBorder="1" applyAlignment="1">
      <alignment horizontal="left" vertical="center" wrapText="1"/>
    </xf>
    <xf numFmtId="171" fontId="85" fillId="0" borderId="10" xfId="308" applyFont="1" applyFill="1" applyBorder="1" applyAlignment="1">
      <alignment horizontal="left" vertical="center" wrapText="1"/>
    </xf>
    <xf numFmtId="0" fontId="73" fillId="0" borderId="10" xfId="308" applyNumberFormat="1" applyFont="1" applyFill="1" applyBorder="1" applyAlignment="1">
      <alignment horizontal="left" vertical="center" wrapText="1"/>
    </xf>
    <xf numFmtId="0" fontId="73" fillId="0" borderId="21" xfId="308" applyNumberFormat="1" applyFont="1" applyFill="1" applyBorder="1" applyAlignment="1">
      <alignment horizontal="left" vertical="center" wrapText="1"/>
    </xf>
    <xf numFmtId="0" fontId="73" fillId="0" borderId="12" xfId="308" applyNumberFormat="1" applyFont="1" applyFill="1" applyBorder="1" applyAlignment="1">
      <alignment horizontal="left" vertical="center" wrapText="1"/>
    </xf>
    <xf numFmtId="0" fontId="73" fillId="0" borderId="22" xfId="308" applyNumberFormat="1" applyFont="1" applyFill="1" applyBorder="1" applyAlignment="1">
      <alignment horizontal="left" vertical="center" wrapText="1"/>
    </xf>
    <xf numFmtId="171" fontId="73" fillId="0" borderId="12" xfId="308" applyFont="1" applyFill="1" applyBorder="1" applyAlignment="1">
      <alignment horizontal="left" vertical="center" wrapText="1"/>
    </xf>
    <xf numFmtId="171" fontId="73" fillId="38" borderId="21" xfId="308" applyFont="1" applyFill="1" applyBorder="1" applyAlignment="1">
      <alignment horizontal="left" wrapText="1"/>
    </xf>
    <xf numFmtId="171" fontId="73" fillId="38" borderId="10" xfId="308" applyFont="1" applyFill="1" applyBorder="1" applyAlignment="1">
      <alignment horizontal="left" wrapText="1"/>
    </xf>
    <xf numFmtId="171" fontId="85" fillId="38" borderId="12" xfId="308" applyFont="1" applyFill="1" applyBorder="1" applyAlignment="1">
      <alignment horizontal="left" vertical="center" wrapText="1"/>
    </xf>
    <xf numFmtId="171" fontId="73" fillId="0" borderId="21" xfId="308" applyFont="1" applyFill="1" applyBorder="1" applyAlignment="1">
      <alignment horizontal="left" vertical="center" wrapText="1"/>
    </xf>
    <xf numFmtId="171" fontId="73" fillId="38" borderId="21" xfId="308" applyFont="1" applyFill="1" applyBorder="1" applyAlignment="1">
      <alignment horizontal="left" vertical="center" wrapText="1"/>
    </xf>
    <xf numFmtId="0" fontId="86" fillId="0" borderId="10" xfId="0" applyNumberFormat="1" applyFont="1" applyBorder="1" applyAlignment="1">
      <alignment horizontal="center" wrapText="1"/>
    </xf>
    <xf numFmtId="0" fontId="86" fillId="34" borderId="10" xfId="308" applyNumberFormat="1" applyFont="1" applyFill="1" applyBorder="1" applyAlignment="1">
      <alignment wrapText="1"/>
    </xf>
    <xf numFmtId="0" fontId="73" fillId="0" borderId="10" xfId="0" applyFont="1" applyFill="1" applyBorder="1" applyAlignment="1">
      <alignment horizontal="center" vertical="center"/>
    </xf>
    <xf numFmtId="0" fontId="73" fillId="0" borderId="21" xfId="308" applyNumberFormat="1" applyFont="1" applyFill="1" applyBorder="1" applyAlignment="1">
      <alignment wrapText="1"/>
    </xf>
    <xf numFmtId="0" fontId="73" fillId="0" borderId="12" xfId="308" applyNumberFormat="1" applyFont="1" applyFill="1" applyBorder="1" applyAlignment="1">
      <alignment wrapText="1"/>
    </xf>
    <xf numFmtId="0" fontId="73" fillId="0" borderId="22" xfId="308" applyNumberFormat="1" applyFont="1" applyFill="1" applyBorder="1" applyAlignment="1">
      <alignment wrapText="1"/>
    </xf>
    <xf numFmtId="0" fontId="73" fillId="0" borderId="21" xfId="308" applyNumberFormat="1" applyFont="1" applyFill="1" applyBorder="1" applyAlignment="1">
      <alignment horizontal="left" wrapText="1"/>
    </xf>
    <xf numFmtId="171" fontId="73" fillId="0" borderId="12" xfId="308" applyFont="1" applyFill="1" applyBorder="1" applyAlignment="1">
      <alignment horizontal="left" wrapText="1"/>
    </xf>
    <xf numFmtId="0" fontId="73" fillId="0" borderId="12" xfId="308" applyNumberFormat="1" applyFont="1" applyFill="1" applyBorder="1" applyAlignment="1">
      <alignment horizontal="left" wrapText="1"/>
    </xf>
    <xf numFmtId="0" fontId="73" fillId="0" borderId="22" xfId="308" applyNumberFormat="1" applyFont="1" applyFill="1" applyBorder="1" applyAlignment="1">
      <alignment horizontal="left" wrapText="1"/>
    </xf>
    <xf numFmtId="171" fontId="85" fillId="38" borderId="12" xfId="308" applyFont="1" applyFill="1" applyBorder="1" applyAlignment="1">
      <alignment horizontal="left" wrapText="1"/>
    </xf>
    <xf numFmtId="4" fontId="6" fillId="0" borderId="0" xfId="0" applyNumberFormat="1" applyFont="1" applyFill="1" applyAlignment="1">
      <alignment horizontal="right" vertical="center" wrapText="1"/>
    </xf>
    <xf numFmtId="171" fontId="0" fillId="0" borderId="0" xfId="308" applyFont="1" applyAlignment="1">
      <alignment/>
    </xf>
    <xf numFmtId="43" fontId="0" fillId="0" borderId="0" xfId="0" applyNumberFormat="1" applyFont="1" applyAlignment="1">
      <alignment/>
    </xf>
    <xf numFmtId="43" fontId="85" fillId="0" borderId="0" xfId="0" applyNumberFormat="1" applyFont="1" applyAlignment="1">
      <alignment/>
    </xf>
    <xf numFmtId="43" fontId="87" fillId="0" borderId="0" xfId="0" applyNumberFormat="1" applyFont="1" applyAlignment="1">
      <alignment/>
    </xf>
    <xf numFmtId="43" fontId="65" fillId="0" borderId="0" xfId="0" applyNumberFormat="1" applyFont="1" applyAlignment="1">
      <alignment/>
    </xf>
    <xf numFmtId="43" fontId="73" fillId="0" borderId="25" xfId="0" applyNumberFormat="1" applyFont="1" applyBorder="1" applyAlignment="1">
      <alignment/>
    </xf>
    <xf numFmtId="171" fontId="0" fillId="0" borderId="18" xfId="308" applyFont="1" applyBorder="1" applyAlignment="1">
      <alignment/>
    </xf>
    <xf numFmtId="0" fontId="0" fillId="0" borderId="19" xfId="0" applyFont="1" applyBorder="1" applyAlignment="1">
      <alignment/>
    </xf>
    <xf numFmtId="4" fontId="3" fillId="0" borderId="0" xfId="299" applyNumberFormat="1" applyFont="1" applyFill="1" applyAlignment="1">
      <alignment vertical="center" wrapText="1"/>
      <protection/>
    </xf>
    <xf numFmtId="3" fontId="5" fillId="0" borderId="21" xfId="0" applyNumberFormat="1" applyFont="1" applyFill="1" applyBorder="1" applyAlignment="1">
      <alignment horizontal="center" vertical="center" wrapText="1"/>
    </xf>
    <xf numFmtId="0" fontId="3" fillId="34" borderId="0" xfId="299" applyFont="1" applyFill="1" applyBorder="1" applyAlignment="1">
      <alignment vertical="center" wrapText="1"/>
      <protection/>
    </xf>
    <xf numFmtId="0" fontId="3" fillId="34" borderId="0" xfId="299" applyFont="1" applyFill="1" applyBorder="1" applyAlignment="1">
      <alignment horizontal="left"/>
      <protection/>
    </xf>
    <xf numFmtId="0" fontId="73" fillId="0" borderId="21" xfId="321" applyNumberFormat="1" applyFont="1" applyFill="1" applyBorder="1" applyAlignment="1">
      <alignment horizontal="left" vertical="center" wrapText="1"/>
    </xf>
    <xf numFmtId="0" fontId="73" fillId="0" borderId="12" xfId="321" applyNumberFormat="1" applyFont="1" applyFill="1" applyBorder="1" applyAlignment="1">
      <alignment horizontal="left" vertical="center" wrapText="1"/>
    </xf>
    <xf numFmtId="0" fontId="73" fillId="0" borderId="22" xfId="321" applyNumberFormat="1" applyFont="1" applyFill="1" applyBorder="1" applyAlignment="1">
      <alignment horizontal="left" vertical="center" wrapText="1"/>
    </xf>
    <xf numFmtId="0" fontId="73" fillId="0" borderId="21" xfId="0" applyNumberFormat="1" applyFont="1" applyBorder="1" applyAlignment="1">
      <alignment horizontal="left" vertical="center" wrapText="1"/>
    </xf>
    <xf numFmtId="0" fontId="73" fillId="0" borderId="12" xfId="0" applyNumberFormat="1" applyFont="1" applyBorder="1" applyAlignment="1">
      <alignment horizontal="left" vertical="center" wrapText="1"/>
    </xf>
    <xf numFmtId="0" fontId="73" fillId="0" borderId="22" xfId="0" applyNumberFormat="1" applyFont="1" applyBorder="1" applyAlignment="1">
      <alignment horizontal="left" vertical="center" wrapText="1"/>
    </xf>
    <xf numFmtId="0" fontId="73" fillId="0" borderId="21" xfId="308" applyNumberFormat="1" applyFont="1" applyFill="1" applyBorder="1" applyAlignment="1">
      <alignment horizontal="left" vertical="center" wrapText="1"/>
    </xf>
    <xf numFmtId="0" fontId="73" fillId="0" borderId="12" xfId="308" applyNumberFormat="1" applyFont="1" applyFill="1" applyBorder="1" applyAlignment="1">
      <alignment horizontal="left" vertical="center" wrapText="1"/>
    </xf>
    <xf numFmtId="0" fontId="73" fillId="0" borderId="22" xfId="308" applyNumberFormat="1" applyFont="1" applyFill="1" applyBorder="1" applyAlignment="1">
      <alignment horizontal="left" vertical="center" wrapText="1"/>
    </xf>
    <xf numFmtId="0" fontId="73" fillId="33" borderId="21" xfId="0" applyNumberFormat="1" applyFont="1" applyFill="1" applyBorder="1" applyAlignment="1">
      <alignment horizontal="left" vertical="center" wrapText="1"/>
    </xf>
    <xf numFmtId="0" fontId="73" fillId="33" borderId="12" xfId="0" applyNumberFormat="1" applyFont="1" applyFill="1" applyBorder="1" applyAlignment="1">
      <alignment horizontal="left" vertical="center" wrapText="1"/>
    </xf>
    <xf numFmtId="0" fontId="73" fillId="33" borderId="22" xfId="0" applyNumberFormat="1" applyFont="1" applyFill="1" applyBorder="1" applyAlignment="1">
      <alignment horizontal="left" vertical="center" wrapText="1"/>
    </xf>
    <xf numFmtId="0" fontId="85" fillId="0" borderId="21" xfId="0" applyNumberFormat="1" applyFont="1" applyBorder="1" applyAlignment="1">
      <alignment horizontal="left" vertical="center" wrapText="1"/>
    </xf>
    <xf numFmtId="0" fontId="85" fillId="0" borderId="12" xfId="0" applyNumberFormat="1" applyFont="1" applyBorder="1" applyAlignment="1">
      <alignment horizontal="left" vertical="center" wrapText="1"/>
    </xf>
    <xf numFmtId="0" fontId="85" fillId="0" borderId="22" xfId="0" applyNumberFormat="1" applyFont="1" applyBorder="1" applyAlignment="1">
      <alignment horizontal="left" vertical="center" wrapText="1"/>
    </xf>
    <xf numFmtId="0" fontId="73" fillId="0" borderId="10" xfId="0" applyNumberFormat="1" applyFont="1" applyBorder="1" applyAlignment="1">
      <alignment horizontal="left" vertical="center" wrapText="1"/>
    </xf>
    <xf numFmtId="0" fontId="3" fillId="34" borderId="10" xfId="443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299" applyFont="1" applyFill="1" applyBorder="1" applyAlignment="1">
      <alignment horizontal="left" vertical="center" wrapText="1"/>
      <protection/>
    </xf>
    <xf numFmtId="0" fontId="88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0" fontId="88" fillId="0" borderId="0" xfId="0" applyNumberFormat="1" applyFont="1" applyFill="1" applyBorder="1" applyAlignment="1">
      <alignment horizontal="center" vertical="center" wrapText="1"/>
    </xf>
    <xf numFmtId="43" fontId="88" fillId="0" borderId="0" xfId="0" applyNumberFormat="1" applyFont="1" applyFill="1" applyBorder="1" applyAlignment="1">
      <alignment horizontal="center" vertical="center" wrapText="1"/>
    </xf>
    <xf numFmtId="171" fontId="88" fillId="0" borderId="0" xfId="444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88" fillId="40" borderId="0" xfId="0" applyFont="1" applyFill="1" applyBorder="1" applyAlignment="1">
      <alignment horizontal="center"/>
    </xf>
    <xf numFmtId="0" fontId="13" fillId="40" borderId="0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vertical="center" wrapText="1"/>
    </xf>
    <xf numFmtId="0" fontId="0" fillId="40" borderId="0" xfId="0" applyFont="1" applyFill="1" applyBorder="1" applyAlignment="1">
      <alignment/>
    </xf>
    <xf numFmtId="0" fontId="89" fillId="0" borderId="0" xfId="0" applyNumberFormat="1" applyFont="1" applyFill="1" applyBorder="1" applyAlignment="1">
      <alignment vertical="center" wrapText="1"/>
    </xf>
    <xf numFmtId="172" fontId="26" fillId="0" borderId="0" xfId="53" applyNumberFormat="1" applyFont="1" applyFill="1" applyBorder="1" applyAlignment="1">
      <alignment vertical="center" wrapText="1"/>
      <protection/>
    </xf>
    <xf numFmtId="0" fontId="88" fillId="0" borderId="26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27" xfId="0" applyFont="1" applyFill="1" applyBorder="1" applyAlignment="1">
      <alignment/>
    </xf>
    <xf numFmtId="0" fontId="90" fillId="0" borderId="0" xfId="0" applyFont="1" applyFill="1" applyBorder="1" applyAlignment="1">
      <alignment vertical="center"/>
    </xf>
    <xf numFmtId="0" fontId="91" fillId="40" borderId="0" xfId="0" applyFont="1" applyFill="1" applyBorder="1" applyAlignment="1">
      <alignment horizontal="center" vertical="center"/>
    </xf>
    <xf numFmtId="171" fontId="91" fillId="41" borderId="21" xfId="308" applyFont="1" applyFill="1" applyBorder="1" applyAlignment="1">
      <alignment vertical="center" wrapText="1"/>
    </xf>
    <xf numFmtId="171" fontId="91" fillId="41" borderId="12" xfId="308" applyFont="1" applyFill="1" applyBorder="1" applyAlignment="1">
      <alignment horizontal="left" vertical="center" wrapText="1"/>
    </xf>
    <xf numFmtId="171" fontId="91" fillId="41" borderId="12" xfId="308" applyFont="1" applyFill="1" applyBorder="1" applyAlignment="1">
      <alignment horizontal="center" vertical="center" wrapText="1"/>
    </xf>
    <xf numFmtId="171" fontId="91" fillId="41" borderId="12" xfId="308" applyFont="1" applyFill="1" applyBorder="1" applyAlignment="1">
      <alignment vertical="center"/>
    </xf>
    <xf numFmtId="171" fontId="91" fillId="41" borderId="12" xfId="308" applyFont="1" applyFill="1" applyBorder="1" applyAlignment="1">
      <alignment horizontal="center" vertical="center"/>
    </xf>
    <xf numFmtId="171" fontId="91" fillId="41" borderId="22" xfId="308" applyFont="1" applyFill="1" applyBorder="1" applyAlignment="1">
      <alignment horizontal="center" vertical="center"/>
    </xf>
    <xf numFmtId="171" fontId="91" fillId="40" borderId="0" xfId="308" applyFont="1" applyFill="1" applyBorder="1" applyAlignment="1">
      <alignment horizontal="center" vertical="center" wrapText="1"/>
    </xf>
    <xf numFmtId="171" fontId="91" fillId="40" borderId="0" xfId="308" applyFont="1" applyFill="1" applyBorder="1" applyAlignment="1">
      <alignment horizontal="center" vertical="center"/>
    </xf>
    <xf numFmtId="0" fontId="90" fillId="40" borderId="0" xfId="0" applyFont="1" applyFill="1" applyBorder="1" applyAlignment="1">
      <alignment vertical="center"/>
    </xf>
    <xf numFmtId="171" fontId="91" fillId="41" borderId="21" xfId="308" applyFont="1" applyFill="1" applyBorder="1" applyAlignment="1">
      <alignment horizontal="center" vertical="center" wrapText="1"/>
    </xf>
    <xf numFmtId="171" fontId="92" fillId="0" borderId="14" xfId="308" applyFont="1" applyFill="1" applyBorder="1" applyAlignment="1">
      <alignment horizontal="center" vertical="center" wrapText="1"/>
    </xf>
    <xf numFmtId="171" fontId="92" fillId="0" borderId="15" xfId="308" applyFont="1" applyFill="1" applyBorder="1" applyAlignment="1">
      <alignment horizontal="left" vertical="center" wrapText="1"/>
    </xf>
    <xf numFmtId="171" fontId="92" fillId="0" borderId="15" xfId="308" applyFont="1" applyFill="1" applyBorder="1" applyAlignment="1">
      <alignment horizontal="center" vertical="center" wrapText="1"/>
    </xf>
    <xf numFmtId="171" fontId="91" fillId="0" borderId="15" xfId="308" applyFont="1" applyFill="1" applyBorder="1" applyAlignment="1">
      <alignment horizontal="center" vertical="center" wrapText="1"/>
    </xf>
    <xf numFmtId="171" fontId="91" fillId="0" borderId="15" xfId="308" applyFont="1" applyFill="1" applyBorder="1" applyAlignment="1">
      <alignment horizontal="center" vertical="center"/>
    </xf>
    <xf numFmtId="171" fontId="91" fillId="0" borderId="28" xfId="308" applyFont="1" applyFill="1" applyBorder="1" applyAlignment="1">
      <alignment horizontal="center" vertical="center"/>
    </xf>
    <xf numFmtId="171" fontId="91" fillId="0" borderId="16" xfId="308" applyFont="1" applyFill="1" applyBorder="1" applyAlignment="1">
      <alignment horizontal="center" vertical="center" wrapText="1"/>
    </xf>
    <xf numFmtId="171" fontId="92" fillId="0" borderId="0" xfId="308" applyFont="1" applyFill="1" applyBorder="1" applyAlignment="1">
      <alignment horizontal="left" vertical="center" wrapText="1"/>
    </xf>
    <xf numFmtId="171" fontId="91" fillId="0" borderId="0" xfId="308" applyFont="1" applyFill="1" applyBorder="1" applyAlignment="1">
      <alignment horizontal="center" vertical="center" wrapText="1"/>
    </xf>
    <xf numFmtId="2" fontId="92" fillId="0" borderId="0" xfId="0" applyNumberFormat="1" applyFont="1" applyFill="1" applyBorder="1" applyAlignment="1">
      <alignment horizontal="center" vertical="center"/>
    </xf>
    <xf numFmtId="171" fontId="91" fillId="0" borderId="0" xfId="308" applyFont="1" applyFill="1" applyBorder="1" applyAlignment="1">
      <alignment horizontal="center" vertical="center"/>
    </xf>
    <xf numFmtId="2" fontId="92" fillId="0" borderId="29" xfId="0" applyNumberFormat="1" applyFont="1" applyFill="1" applyBorder="1" applyAlignment="1">
      <alignment horizontal="center" vertical="center"/>
    </xf>
    <xf numFmtId="171" fontId="91" fillId="0" borderId="17" xfId="308" applyFont="1" applyFill="1" applyBorder="1" applyAlignment="1">
      <alignment horizontal="center" vertical="center" wrapText="1"/>
    </xf>
    <xf numFmtId="171" fontId="91" fillId="0" borderId="11" xfId="308" applyFont="1" applyFill="1" applyBorder="1" applyAlignment="1">
      <alignment horizontal="center" vertical="center" wrapText="1"/>
    </xf>
    <xf numFmtId="171" fontId="91" fillId="0" borderId="11" xfId="308" applyFont="1" applyFill="1" applyBorder="1" applyAlignment="1">
      <alignment horizontal="center" vertical="center"/>
    </xf>
    <xf numFmtId="2" fontId="91" fillId="0" borderId="30" xfId="0" applyNumberFormat="1" applyFont="1" applyFill="1" applyBorder="1" applyAlignment="1">
      <alignment horizontal="center" vertical="center"/>
    </xf>
    <xf numFmtId="2" fontId="91" fillId="0" borderId="28" xfId="0" applyNumberFormat="1" applyFont="1" applyFill="1" applyBorder="1" applyAlignment="1">
      <alignment horizontal="center" vertical="center"/>
    </xf>
    <xf numFmtId="171" fontId="92" fillId="0" borderId="11" xfId="308" applyFont="1" applyFill="1" applyBorder="1" applyAlignment="1">
      <alignment horizontal="left" vertical="center" wrapText="1"/>
    </xf>
    <xf numFmtId="2" fontId="92" fillId="0" borderId="11" xfId="0" applyNumberFormat="1" applyFont="1" applyFill="1" applyBorder="1" applyAlignment="1">
      <alignment horizontal="center" vertical="center"/>
    </xf>
    <xf numFmtId="171" fontId="92" fillId="0" borderId="14" xfId="308" applyFont="1" applyFill="1" applyBorder="1" applyAlignment="1">
      <alignment horizontal="left" vertical="center" wrapText="1"/>
    </xf>
    <xf numFmtId="171" fontId="92" fillId="0" borderId="16" xfId="308" applyFont="1" applyFill="1" applyBorder="1" applyAlignment="1">
      <alignment horizontal="left" vertical="center" wrapText="1"/>
    </xf>
    <xf numFmtId="171" fontId="92" fillId="0" borderId="0" xfId="308" applyFont="1" applyFill="1" applyBorder="1" applyAlignment="1">
      <alignment horizontal="center" vertical="center" wrapText="1"/>
    </xf>
    <xf numFmtId="171" fontId="92" fillId="0" borderId="11" xfId="308" applyFont="1" applyFill="1" applyBorder="1" applyAlignment="1">
      <alignment horizontal="center" vertical="center" wrapText="1"/>
    </xf>
    <xf numFmtId="171" fontId="91" fillId="41" borderId="21" xfId="308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center" vertical="center" wrapText="1"/>
    </xf>
    <xf numFmtId="2" fontId="92" fillId="0" borderId="15" xfId="0" applyNumberFormat="1" applyFont="1" applyFill="1" applyBorder="1" applyAlignment="1">
      <alignment horizontal="center" vertical="center"/>
    </xf>
    <xf numFmtId="171" fontId="91" fillId="41" borderId="17" xfId="308" applyFont="1" applyFill="1" applyBorder="1" applyAlignment="1">
      <alignment horizontal="center" vertical="center" wrapText="1"/>
    </xf>
    <xf numFmtId="171" fontId="91" fillId="41" borderId="11" xfId="308" applyFont="1" applyFill="1" applyBorder="1" applyAlignment="1">
      <alignment horizontal="left" vertical="center" wrapText="1"/>
    </xf>
    <xf numFmtId="171" fontId="91" fillId="41" borderId="11" xfId="308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wrapText="1"/>
    </xf>
    <xf numFmtId="171" fontId="91" fillId="0" borderId="29" xfId="308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wrapText="1"/>
    </xf>
    <xf numFmtId="0" fontId="92" fillId="0" borderId="0" xfId="0" applyFont="1" applyFill="1" applyBorder="1" applyAlignment="1">
      <alignment wrapText="1"/>
    </xf>
    <xf numFmtId="171" fontId="91" fillId="0" borderId="0" xfId="308" applyFont="1" applyFill="1" applyBorder="1" applyAlignment="1">
      <alignment horizontal="left" vertical="center" wrapText="1"/>
    </xf>
    <xf numFmtId="171" fontId="92" fillId="0" borderId="0" xfId="308" applyFont="1" applyFill="1" applyBorder="1" applyAlignment="1">
      <alignment vertical="center" wrapText="1"/>
    </xf>
    <xf numFmtId="171" fontId="91" fillId="0" borderId="11" xfId="308" applyFont="1" applyFill="1" applyBorder="1" applyAlignment="1">
      <alignment horizontal="left" vertical="center" wrapText="1"/>
    </xf>
    <xf numFmtId="171" fontId="91" fillId="0" borderId="14" xfId="308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vertical="center"/>
    </xf>
    <xf numFmtId="2" fontId="91" fillId="0" borderId="29" xfId="0" applyNumberFormat="1" applyFont="1" applyFill="1" applyBorder="1" applyAlignment="1">
      <alignment horizontal="center" vertical="center"/>
    </xf>
    <xf numFmtId="0" fontId="92" fillId="0" borderId="17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wrapText="1"/>
    </xf>
    <xf numFmtId="0" fontId="92" fillId="0" borderId="11" xfId="0" applyFont="1" applyFill="1" applyBorder="1" applyAlignment="1">
      <alignment/>
    </xf>
    <xf numFmtId="0" fontId="92" fillId="0" borderId="11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/>
    </xf>
    <xf numFmtId="0" fontId="92" fillId="0" borderId="15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 wrapText="1"/>
    </xf>
    <xf numFmtId="171" fontId="92" fillId="0" borderId="15" xfId="308" applyFont="1" applyFill="1" applyBorder="1" applyAlignment="1">
      <alignment horizontal="center" vertical="center"/>
    </xf>
    <xf numFmtId="171" fontId="92" fillId="0" borderId="16" xfId="308" applyFont="1" applyFill="1" applyBorder="1" applyAlignment="1">
      <alignment horizontal="center" vertical="center" wrapText="1"/>
    </xf>
    <xf numFmtId="171" fontId="92" fillId="0" borderId="0" xfId="308" applyFont="1" applyFill="1" applyBorder="1" applyAlignment="1">
      <alignment horizontal="center" vertical="center"/>
    </xf>
    <xf numFmtId="171" fontId="92" fillId="0" borderId="17" xfId="308" applyFont="1" applyFill="1" applyBorder="1" applyAlignment="1">
      <alignment horizontal="center" vertical="center" wrapText="1"/>
    </xf>
    <xf numFmtId="171" fontId="92" fillId="0" borderId="11" xfId="308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wrapText="1"/>
    </xf>
    <xf numFmtId="0" fontId="92" fillId="0" borderId="14" xfId="0" applyFont="1" applyFill="1" applyBorder="1" applyAlignment="1">
      <alignment horizontal="center" wrapText="1"/>
    </xf>
    <xf numFmtId="2" fontId="92" fillId="0" borderId="0" xfId="0" applyNumberFormat="1" applyFont="1" applyFill="1" applyBorder="1" applyAlignment="1">
      <alignment horizontal="center"/>
    </xf>
    <xf numFmtId="171" fontId="91" fillId="41" borderId="11" xfId="308" applyFont="1" applyFill="1" applyBorder="1" applyAlignment="1">
      <alignment horizontal="center" vertical="center" wrapText="1"/>
    </xf>
    <xf numFmtId="171" fontId="91" fillId="41" borderId="30" xfId="308" applyFont="1" applyFill="1" applyBorder="1" applyAlignment="1">
      <alignment horizontal="center" vertical="center"/>
    </xf>
    <xf numFmtId="2" fontId="92" fillId="0" borderId="15" xfId="0" applyNumberFormat="1" applyFont="1" applyFill="1" applyBorder="1" applyAlignment="1">
      <alignment horizontal="center"/>
    </xf>
    <xf numFmtId="2" fontId="92" fillId="0" borderId="11" xfId="0" applyNumberFormat="1" applyFont="1" applyFill="1" applyBorder="1" applyAlignment="1">
      <alignment horizontal="center"/>
    </xf>
    <xf numFmtId="2" fontId="92" fillId="0" borderId="28" xfId="0" applyNumberFormat="1" applyFont="1" applyFill="1" applyBorder="1" applyAlignment="1">
      <alignment horizontal="center" vertical="center"/>
    </xf>
    <xf numFmtId="171" fontId="91" fillId="0" borderId="16" xfId="308" applyFont="1" applyFill="1" applyBorder="1" applyAlignment="1">
      <alignment horizontal="left" vertical="center" wrapText="1"/>
    </xf>
    <xf numFmtId="171" fontId="91" fillId="41" borderId="14" xfId="308" applyFont="1" applyFill="1" applyBorder="1" applyAlignment="1">
      <alignment horizontal="left" vertical="center" wrapText="1"/>
    </xf>
    <xf numFmtId="171" fontId="91" fillId="41" borderId="15" xfId="308" applyFont="1" applyFill="1" applyBorder="1" applyAlignment="1">
      <alignment horizontal="left" vertical="center" wrapText="1"/>
    </xf>
    <xf numFmtId="171" fontId="91" fillId="41" borderId="15" xfId="308" applyFont="1" applyFill="1" applyBorder="1" applyAlignment="1">
      <alignment horizontal="center" vertical="center" wrapText="1"/>
    </xf>
    <xf numFmtId="171" fontId="91" fillId="41" borderId="15" xfId="308" applyFont="1" applyFill="1" applyBorder="1" applyAlignment="1">
      <alignment horizontal="center" vertical="center"/>
    </xf>
    <xf numFmtId="171" fontId="91" fillId="41" borderId="28" xfId="308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92" fillId="0" borderId="15" xfId="0" applyFont="1" applyFill="1" applyBorder="1" applyAlignment="1">
      <alignment horizontal="center"/>
    </xf>
    <xf numFmtId="2" fontId="92" fillId="0" borderId="15" xfId="0" applyNumberFormat="1" applyFont="1" applyFill="1" applyBorder="1" applyAlignment="1">
      <alignment horizontal="left" vertical="center"/>
    </xf>
    <xf numFmtId="2" fontId="91" fillId="0" borderId="0" xfId="0" applyNumberFormat="1" applyFont="1" applyFill="1" applyBorder="1" applyAlignment="1">
      <alignment horizontal="left" vertical="center"/>
    </xf>
    <xf numFmtId="0" fontId="0" fillId="0" borderId="28" xfId="0" applyFont="1" applyFill="1" applyBorder="1" applyAlignment="1">
      <alignment/>
    </xf>
    <xf numFmtId="171" fontId="92" fillId="0" borderId="0" xfId="0" applyNumberFormat="1" applyFont="1" applyFill="1" applyBorder="1" applyAlignment="1">
      <alignment/>
    </xf>
    <xf numFmtId="0" fontId="88" fillId="0" borderId="15" xfId="0" applyFont="1" applyFill="1" applyBorder="1" applyAlignment="1">
      <alignment/>
    </xf>
    <xf numFmtId="0" fontId="88" fillId="0" borderId="16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/>
    </xf>
    <xf numFmtId="0" fontId="9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Alignment="1">
      <alignment wrapText="1"/>
    </xf>
    <xf numFmtId="0" fontId="92" fillId="0" borderId="0" xfId="308" applyNumberFormat="1" applyFont="1" applyFill="1" applyBorder="1" applyAlignment="1">
      <alignment vertical="center" wrapText="1"/>
    </xf>
    <xf numFmtId="171" fontId="0" fillId="0" borderId="0" xfId="0" applyNumberFormat="1" applyAlignment="1">
      <alignment/>
    </xf>
    <xf numFmtId="0" fontId="79" fillId="0" borderId="0" xfId="0" applyFont="1" applyAlignment="1">
      <alignment/>
    </xf>
    <xf numFmtId="171" fontId="79" fillId="0" borderId="0" xfId="0" applyNumberFormat="1" applyFont="1" applyAlignment="1">
      <alignment/>
    </xf>
    <xf numFmtId="171" fontId="92" fillId="41" borderId="12" xfId="308" applyFont="1" applyFill="1" applyBorder="1" applyAlignment="1">
      <alignment horizontal="left" vertical="center" wrapText="1"/>
    </xf>
    <xf numFmtId="2" fontId="92" fillId="41" borderId="12" xfId="0" applyNumberFormat="1" applyFont="1" applyFill="1" applyBorder="1" applyAlignment="1">
      <alignment horizontal="center" vertical="center"/>
    </xf>
    <xf numFmtId="2" fontId="91" fillId="41" borderId="22" xfId="0" applyNumberFormat="1" applyFont="1" applyFill="1" applyBorder="1" applyAlignment="1">
      <alignment horizontal="center" vertical="center"/>
    </xf>
    <xf numFmtId="0" fontId="92" fillId="0" borderId="17" xfId="0" applyFont="1" applyFill="1" applyBorder="1" applyAlignment="1">
      <alignment horizontal="center" wrapText="1"/>
    </xf>
    <xf numFmtId="171" fontId="92" fillId="0" borderId="11" xfId="308" applyFont="1" applyFill="1" applyBorder="1" applyAlignment="1">
      <alignment vertical="center" wrapText="1"/>
    </xf>
    <xf numFmtId="171" fontId="91" fillId="0" borderId="15" xfId="308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171" fontId="92" fillId="0" borderId="15" xfId="308" applyFont="1" applyFill="1" applyBorder="1" applyAlignment="1">
      <alignment vertical="center" wrapText="1"/>
    </xf>
    <xf numFmtId="0" fontId="79" fillId="36" borderId="0" xfId="0" applyFont="1" applyFill="1" applyAlignment="1">
      <alignment/>
    </xf>
    <xf numFmtId="171" fontId="79" fillId="36" borderId="0" xfId="0" applyNumberFormat="1" applyFont="1" applyFill="1" applyAlignment="1">
      <alignment/>
    </xf>
    <xf numFmtId="0" fontId="92" fillId="0" borderId="0" xfId="308" applyNumberFormat="1" applyFont="1" applyFill="1" applyBorder="1" applyAlignment="1">
      <alignment horizontal="left" vertical="center" wrapText="1"/>
    </xf>
    <xf numFmtId="171" fontId="92" fillId="0" borderId="0" xfId="0" applyNumberFormat="1" applyFont="1" applyFill="1" applyBorder="1" applyAlignment="1">
      <alignment horizontal="left" vertical="center"/>
    </xf>
    <xf numFmtId="0" fontId="92" fillId="0" borderId="11" xfId="0" applyFont="1" applyFill="1" applyBorder="1" applyAlignment="1">
      <alignment horizontal="left" wrapText="1"/>
    </xf>
    <xf numFmtId="0" fontId="88" fillId="0" borderId="14" xfId="0" applyFont="1" applyFill="1" applyBorder="1" applyAlignment="1">
      <alignment horizontal="center" vertical="center"/>
    </xf>
    <xf numFmtId="0" fontId="23" fillId="0" borderId="11" xfId="299" applyFont="1" applyFill="1" applyBorder="1" applyAlignment="1">
      <alignment horizontal="left" vertical="center" wrapText="1"/>
      <protection/>
    </xf>
    <xf numFmtId="0" fontId="23" fillId="0" borderId="15" xfId="299" applyFont="1" applyFill="1" applyBorder="1" applyAlignment="1">
      <alignment horizontal="left" vertical="center" wrapText="1"/>
      <protection/>
    </xf>
    <xf numFmtId="0" fontId="88" fillId="0" borderId="28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2" fillId="34" borderId="21" xfId="308" applyNumberFormat="1" applyFont="1" applyFill="1" applyBorder="1" applyAlignment="1">
      <alignment vertical="center" wrapText="1"/>
    </xf>
    <xf numFmtId="0" fontId="2" fillId="34" borderId="21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left" vertical="top" wrapText="1"/>
    </xf>
    <xf numFmtId="171" fontId="2" fillId="34" borderId="10" xfId="434" applyNumberFormat="1" applyFont="1" applyFill="1" applyBorder="1" applyAlignment="1">
      <alignment horizontal="left" vertical="top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4" fillId="36" borderId="21" xfId="0" applyNumberFormat="1" applyFont="1" applyFill="1" applyBorder="1" applyAlignment="1">
      <alignment horizontal="left" vertical="center" wrapText="1"/>
    </xf>
    <xf numFmtId="0" fontId="3" fillId="36" borderId="12" xfId="443" applyNumberFormat="1" applyFont="1" applyFill="1" applyBorder="1" applyAlignment="1">
      <alignment horizontal="center" vertical="center" wrapText="1"/>
    </xf>
    <xf numFmtId="0" fontId="3" fillId="36" borderId="12" xfId="443" applyNumberFormat="1" applyFont="1" applyFill="1" applyBorder="1" applyAlignment="1">
      <alignment horizontal="center" wrapText="1"/>
    </xf>
    <xf numFmtId="0" fontId="6" fillId="36" borderId="12" xfId="0" applyNumberFormat="1" applyFont="1" applyFill="1" applyBorder="1" applyAlignment="1">
      <alignment horizontal="center" wrapText="1"/>
    </xf>
    <xf numFmtId="4" fontId="6" fillId="36" borderId="12" xfId="0" applyNumberFormat="1" applyFont="1" applyFill="1" applyBorder="1" applyAlignment="1">
      <alignment horizontal="right"/>
    </xf>
    <xf numFmtId="4" fontId="3" fillId="36" borderId="12" xfId="443" applyNumberFormat="1" applyFont="1" applyFill="1" applyBorder="1" applyAlignment="1">
      <alignment horizontal="right"/>
    </xf>
    <xf numFmtId="4" fontId="6" fillId="36" borderId="11" xfId="0" applyNumberFormat="1" applyFont="1" applyFill="1" applyBorder="1" applyAlignment="1">
      <alignment horizontal="right" vertical="center"/>
    </xf>
    <xf numFmtId="4" fontId="6" fillId="36" borderId="30" xfId="0" applyNumberFormat="1" applyFont="1" applyFill="1" applyBorder="1" applyAlignment="1">
      <alignment horizontal="right" vertical="center"/>
    </xf>
    <xf numFmtId="4" fontId="5" fillId="36" borderId="22" xfId="0" applyNumberFormat="1" applyFont="1" applyFill="1" applyBorder="1" applyAlignment="1">
      <alignment horizontal="center" vertical="center"/>
    </xf>
    <xf numFmtId="10" fontId="5" fillId="36" borderId="10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center"/>
    </xf>
    <xf numFmtId="0" fontId="4" fillId="34" borderId="17" xfId="0" applyNumberFormat="1" applyFont="1" applyFill="1" applyBorder="1" applyAlignment="1">
      <alignment horizontal="left" vertical="center" wrapText="1"/>
    </xf>
    <xf numFmtId="0" fontId="4" fillId="36" borderId="21" xfId="0" applyNumberFormat="1" applyFont="1" applyFill="1" applyBorder="1" applyAlignment="1">
      <alignment horizontal="left" vertical="center"/>
    </xf>
    <xf numFmtId="0" fontId="3" fillId="36" borderId="12" xfId="0" applyFont="1" applyFill="1" applyBorder="1" applyAlignment="1">
      <alignment vertical="center" wrapText="1"/>
    </xf>
    <xf numFmtId="0" fontId="23" fillId="0" borderId="0" xfId="299" applyFont="1" applyFill="1" applyAlignment="1">
      <alignment horizontal="center" vertical="center" wrapText="1"/>
      <protection/>
    </xf>
    <xf numFmtId="0" fontId="23" fillId="0" borderId="0" xfId="299" applyFont="1" applyFill="1" applyAlignment="1">
      <alignment vertical="center" wrapText="1"/>
      <protection/>
    </xf>
    <xf numFmtId="4" fontId="23" fillId="0" borderId="0" xfId="310" applyNumberFormat="1" applyFont="1" applyFill="1" applyAlignment="1">
      <alignment horizontal="right" vertical="center" wrapText="1"/>
    </xf>
    <xf numFmtId="4" fontId="23" fillId="34" borderId="0" xfId="299" applyNumberFormat="1" applyFont="1" applyFill="1" applyAlignment="1">
      <alignment horizontal="right" vertical="center" wrapText="1"/>
      <protection/>
    </xf>
    <xf numFmtId="4" fontId="23" fillId="0" borderId="0" xfId="299" applyNumberFormat="1" applyFont="1" applyFill="1" applyAlignment="1">
      <alignment horizontal="center" vertical="center" wrapText="1"/>
      <protection/>
    </xf>
    <xf numFmtId="10" fontId="23" fillId="0" borderId="0" xfId="299" applyNumberFormat="1" applyFont="1" applyFill="1" applyAlignment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vertical="center" wrapText="1"/>
    </xf>
    <xf numFmtId="0" fontId="27" fillId="34" borderId="0" xfId="296" applyFont="1" applyFill="1">
      <alignment/>
      <protection/>
    </xf>
    <xf numFmtId="0" fontId="28" fillId="34" borderId="0" xfId="296" applyFont="1" applyFill="1">
      <alignment/>
      <protection/>
    </xf>
    <xf numFmtId="4" fontId="2" fillId="34" borderId="21" xfId="308" applyNumberFormat="1" applyFont="1" applyFill="1" applyBorder="1" applyAlignment="1">
      <alignment vertical="center" wrapText="1"/>
    </xf>
    <xf numFmtId="0" fontId="86" fillId="0" borderId="0" xfId="0" applyFont="1" applyFill="1" applyAlignment="1">
      <alignment wrapText="1"/>
    </xf>
    <xf numFmtId="0" fontId="86" fillId="0" borderId="0" xfId="0" applyFont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2" fontId="8" fillId="0" borderId="21" xfId="52" applyNumberFormat="1" applyFont="1" applyFill="1" applyBorder="1" applyAlignment="1">
      <alignment horizontal="left" vertical="center" wrapText="1"/>
      <protection/>
    </xf>
    <xf numFmtId="172" fontId="8" fillId="0" borderId="12" xfId="52" applyNumberFormat="1" applyFont="1" applyFill="1" applyBorder="1" applyAlignment="1">
      <alignment horizontal="left" vertical="center" wrapText="1"/>
      <protection/>
    </xf>
    <xf numFmtId="172" fontId="8" fillId="0" borderId="22" xfId="52" applyNumberFormat="1" applyFont="1" applyFill="1" applyBorder="1" applyAlignment="1">
      <alignment horizontal="left" vertical="center" wrapText="1"/>
      <protection/>
    </xf>
    <xf numFmtId="172" fontId="12" fillId="0" borderId="21" xfId="52" applyNumberFormat="1" applyFont="1" applyFill="1" applyBorder="1" applyAlignment="1">
      <alignment horizontal="left" vertical="center" wrapText="1"/>
      <protection/>
    </xf>
    <xf numFmtId="172" fontId="12" fillId="0" borderId="12" xfId="52" applyNumberFormat="1" applyFont="1" applyFill="1" applyBorder="1" applyAlignment="1">
      <alignment horizontal="left" vertical="center" wrapText="1"/>
      <protection/>
    </xf>
    <xf numFmtId="172" fontId="12" fillId="0" borderId="22" xfId="52" applyNumberFormat="1" applyFont="1" applyFill="1" applyBorder="1" applyAlignment="1">
      <alignment horizontal="left" vertical="center" wrapText="1"/>
      <protection/>
    </xf>
    <xf numFmtId="172" fontId="3" fillId="0" borderId="11" xfId="52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72" fontId="12" fillId="36" borderId="21" xfId="52" applyNumberFormat="1" applyFont="1" applyFill="1" applyBorder="1" applyAlignment="1">
      <alignment horizontal="center" vertical="center" wrapText="1"/>
      <protection/>
    </xf>
    <xf numFmtId="172" fontId="12" fillId="36" borderId="12" xfId="52" applyNumberFormat="1" applyFont="1" applyFill="1" applyBorder="1" applyAlignment="1">
      <alignment horizontal="center" vertical="center" wrapText="1"/>
      <protection/>
    </xf>
    <xf numFmtId="172" fontId="12" fillId="36" borderId="22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298" applyNumberFormat="1" applyFont="1" applyFill="1" applyBorder="1" applyAlignment="1" applyProtection="1">
      <alignment horizontal="center" vertical="center" wrapText="1"/>
      <protection/>
    </xf>
    <xf numFmtId="0" fontId="4" fillId="0" borderId="17" xfId="298" applyNumberFormat="1" applyFont="1" applyFill="1" applyBorder="1" applyAlignment="1" applyProtection="1">
      <alignment horizontal="center" vertical="center" wrapText="1"/>
      <protection/>
    </xf>
    <xf numFmtId="0" fontId="4" fillId="0" borderId="13" xfId="298" applyNumberFormat="1" applyFont="1" applyFill="1" applyBorder="1" applyAlignment="1" applyProtection="1">
      <alignment horizontal="center" vertical="center" wrapText="1"/>
      <protection/>
    </xf>
    <xf numFmtId="0" fontId="4" fillId="0" borderId="24" xfId="298" applyNumberFormat="1" applyFont="1" applyFill="1" applyBorder="1" applyAlignment="1" applyProtection="1">
      <alignment horizontal="center" vertical="center" wrapText="1"/>
      <protection/>
    </xf>
    <xf numFmtId="4" fontId="4" fillId="0" borderId="13" xfId="298" applyNumberFormat="1" applyFont="1" applyFill="1" applyBorder="1" applyAlignment="1" applyProtection="1">
      <alignment horizontal="center" vertical="center" wrapText="1"/>
      <protection/>
    </xf>
    <xf numFmtId="4" fontId="4" fillId="0" borderId="24" xfId="298" applyNumberFormat="1" applyFont="1" applyFill="1" applyBorder="1" applyAlignment="1" applyProtection="1">
      <alignment horizontal="center" vertical="center" wrapText="1"/>
      <protection/>
    </xf>
    <xf numFmtId="4" fontId="4" fillId="34" borderId="13" xfId="298" applyNumberFormat="1" applyFont="1" applyFill="1" applyBorder="1" applyAlignment="1" applyProtection="1">
      <alignment horizontal="center" vertical="center" wrapText="1"/>
      <protection/>
    </xf>
    <xf numFmtId="4" fontId="4" fillId="34" borderId="24" xfId="298" applyNumberFormat="1" applyFont="1" applyFill="1" applyBorder="1" applyAlignment="1" applyProtection="1">
      <alignment horizontal="center" vertical="center" wrapText="1"/>
      <protection/>
    </xf>
    <xf numFmtId="0" fontId="2" fillId="0" borderId="0" xfId="299" applyFont="1" applyFill="1" applyBorder="1" applyAlignment="1">
      <alignment horizontal="left" wrapText="1"/>
      <protection/>
    </xf>
    <xf numFmtId="0" fontId="2" fillId="0" borderId="0" xfId="299" applyFont="1" applyFill="1" applyBorder="1" applyAlignment="1">
      <alignment horizontal="left" vertical="top" wrapText="1"/>
      <protection/>
    </xf>
    <xf numFmtId="10" fontId="4" fillId="0" borderId="13" xfId="298" applyNumberFormat="1" applyFont="1" applyFill="1" applyBorder="1" applyAlignment="1" applyProtection="1">
      <alignment horizontal="center" vertical="center" wrapText="1"/>
      <protection/>
    </xf>
    <xf numFmtId="10" fontId="4" fillId="0" borderId="24" xfId="298" applyNumberFormat="1" applyFont="1" applyFill="1" applyBorder="1" applyAlignment="1" applyProtection="1">
      <alignment horizontal="center" vertical="center" wrapText="1"/>
      <protection/>
    </xf>
    <xf numFmtId="0" fontId="23" fillId="42" borderId="15" xfId="299" applyFont="1" applyFill="1" applyBorder="1" applyAlignment="1">
      <alignment horizontal="justify" vertical="center" wrapText="1"/>
      <protection/>
    </xf>
    <xf numFmtId="0" fontId="23" fillId="42" borderId="0" xfId="299" applyFont="1" applyFill="1" applyBorder="1" applyAlignment="1">
      <alignment horizontal="justify" vertical="center" wrapText="1"/>
      <protection/>
    </xf>
    <xf numFmtId="0" fontId="3" fillId="0" borderId="0" xfId="299" applyFont="1" applyFill="1" applyBorder="1" applyAlignment="1">
      <alignment horizontal="left" wrapText="1"/>
      <protection/>
    </xf>
    <xf numFmtId="0" fontId="16" fillId="0" borderId="13" xfId="296" applyFont="1" applyFill="1" applyBorder="1" applyAlignment="1">
      <alignment horizontal="center" vertical="center" wrapText="1"/>
      <protection/>
    </xf>
    <xf numFmtId="0" fontId="16" fillId="0" borderId="24" xfId="296" applyFont="1" applyFill="1" applyBorder="1" applyAlignment="1">
      <alignment horizontal="center" vertical="center" wrapText="1"/>
      <protection/>
    </xf>
    <xf numFmtId="0" fontId="16" fillId="0" borderId="21" xfId="296" applyFont="1" applyFill="1" applyBorder="1" applyAlignment="1">
      <alignment horizontal="center" vertical="center" wrapText="1"/>
      <protection/>
    </xf>
    <xf numFmtId="0" fontId="16" fillId="0" borderId="22" xfId="296" applyFont="1" applyFill="1" applyBorder="1" applyAlignment="1">
      <alignment horizontal="center" vertical="center" wrapText="1"/>
      <protection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0" fontId="2" fillId="0" borderId="0" xfId="299" applyFont="1" applyFill="1" applyBorder="1" applyAlignment="1">
      <alignment horizontal="left" vertical="top"/>
      <protection/>
    </xf>
    <xf numFmtId="0" fontId="2" fillId="0" borderId="0" xfId="299" applyNumberFormat="1" applyFont="1" applyFill="1" applyBorder="1" applyAlignment="1">
      <alignment horizontal="left" vertical="top" wrapText="1"/>
      <protection/>
    </xf>
    <xf numFmtId="172" fontId="13" fillId="0" borderId="21" xfId="52" applyNumberFormat="1" applyFont="1" applyFill="1" applyBorder="1" applyAlignment="1">
      <alignment horizontal="center" vertical="center" wrapText="1"/>
      <protection/>
    </xf>
    <xf numFmtId="172" fontId="13" fillId="0" borderId="12" xfId="52" applyNumberFormat="1" applyFont="1" applyFill="1" applyBorder="1" applyAlignment="1">
      <alignment horizontal="center" vertical="center" wrapText="1"/>
      <protection/>
    </xf>
    <xf numFmtId="172" fontId="13" fillId="0" borderId="22" xfId="52" applyNumberFormat="1" applyFont="1" applyFill="1" applyBorder="1" applyAlignment="1">
      <alignment horizontal="center" vertical="center" wrapText="1"/>
      <protection/>
    </xf>
    <xf numFmtId="0" fontId="3" fillId="34" borderId="0" xfId="299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38" borderId="21" xfId="296" applyFont="1" applyFill="1" applyBorder="1" applyAlignment="1">
      <alignment horizontal="center" vertical="center"/>
      <protection/>
    </xf>
    <xf numFmtId="0" fontId="4" fillId="38" borderId="12" xfId="296" applyFont="1" applyFill="1" applyBorder="1" applyAlignment="1">
      <alignment horizontal="center" vertical="center"/>
      <protection/>
    </xf>
    <xf numFmtId="0" fontId="4" fillId="38" borderId="22" xfId="296" applyFont="1" applyFill="1" applyBorder="1" applyAlignment="1">
      <alignment horizontal="center" vertical="center"/>
      <protection/>
    </xf>
    <xf numFmtId="0" fontId="19" fillId="33" borderId="21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19" fillId="33" borderId="2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72" fontId="19" fillId="0" borderId="31" xfId="191" applyNumberFormat="1" applyFont="1" applyFill="1" applyBorder="1" applyAlignment="1">
      <alignment horizontal="center" vertical="center" wrapText="1"/>
      <protection/>
    </xf>
    <xf numFmtId="172" fontId="19" fillId="0" borderId="32" xfId="191" applyNumberFormat="1" applyFont="1" applyFill="1" applyBorder="1" applyAlignment="1">
      <alignment horizontal="center" vertical="center" wrapText="1"/>
      <protection/>
    </xf>
    <xf numFmtId="172" fontId="19" fillId="0" borderId="33" xfId="191" applyNumberFormat="1" applyFont="1" applyFill="1" applyBorder="1" applyAlignment="1">
      <alignment horizontal="center" vertical="center" wrapText="1"/>
      <protection/>
    </xf>
    <xf numFmtId="172" fontId="19" fillId="0" borderId="24" xfId="191" applyNumberFormat="1" applyFont="1" applyFill="1" applyBorder="1" applyAlignment="1">
      <alignment horizontal="left" vertical="center" wrapText="1"/>
      <protection/>
    </xf>
    <xf numFmtId="0" fontId="19" fillId="0" borderId="24" xfId="191" applyNumberFormat="1" applyFont="1" applyFill="1" applyBorder="1" applyAlignment="1">
      <alignment horizontal="left" vertical="center" wrapText="1"/>
      <protection/>
    </xf>
    <xf numFmtId="0" fontId="17" fillId="33" borderId="21" xfId="308" applyNumberFormat="1" applyFont="1" applyFill="1" applyBorder="1" applyAlignment="1">
      <alignment horizontal="left" vertical="center" wrapText="1"/>
    </xf>
    <xf numFmtId="0" fontId="17" fillId="33" borderId="12" xfId="308" applyNumberFormat="1" applyFont="1" applyFill="1" applyBorder="1" applyAlignment="1">
      <alignment horizontal="left" vertical="center" wrapText="1"/>
    </xf>
    <xf numFmtId="0" fontId="17" fillId="33" borderId="22" xfId="308" applyNumberFormat="1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73" fillId="33" borderId="21" xfId="0" applyFont="1" applyFill="1" applyBorder="1" applyAlignment="1">
      <alignment horizontal="left" wrapText="1"/>
    </xf>
    <xf numFmtId="0" fontId="73" fillId="33" borderId="12" xfId="0" applyFont="1" applyFill="1" applyBorder="1" applyAlignment="1">
      <alignment horizontal="left" wrapText="1"/>
    </xf>
    <xf numFmtId="0" fontId="73" fillId="33" borderId="22" xfId="0" applyFont="1" applyFill="1" applyBorder="1" applyAlignment="1">
      <alignment horizontal="left" wrapText="1"/>
    </xf>
    <xf numFmtId="172" fontId="19" fillId="0" borderId="10" xfId="191" applyNumberFormat="1" applyFont="1" applyFill="1" applyBorder="1" applyAlignment="1">
      <alignment horizontal="left" vertical="center" wrapText="1"/>
      <protection/>
    </xf>
    <xf numFmtId="0" fontId="19" fillId="0" borderId="10" xfId="191" applyNumberFormat="1" applyFont="1" applyFill="1" applyBorder="1" applyAlignment="1">
      <alignment horizontal="left" vertical="center" wrapText="1"/>
      <protection/>
    </xf>
    <xf numFmtId="172" fontId="19" fillId="0" borderId="21" xfId="191" applyNumberFormat="1" applyFont="1" applyFill="1" applyBorder="1" applyAlignment="1">
      <alignment horizontal="left" vertical="center" wrapText="1"/>
      <protection/>
    </xf>
    <xf numFmtId="172" fontId="19" fillId="0" borderId="12" xfId="191" applyNumberFormat="1" applyFont="1" applyFill="1" applyBorder="1" applyAlignment="1">
      <alignment horizontal="left" vertical="center" wrapText="1"/>
      <protection/>
    </xf>
    <xf numFmtId="172" fontId="19" fillId="0" borderId="22" xfId="191" applyNumberFormat="1" applyFont="1" applyFill="1" applyBorder="1" applyAlignment="1">
      <alignment horizontal="left" vertical="center" wrapText="1"/>
      <protection/>
    </xf>
    <xf numFmtId="171" fontId="19" fillId="0" borderId="21" xfId="308" applyFont="1" applyFill="1" applyBorder="1" applyAlignment="1">
      <alignment horizontal="left" wrapText="1"/>
    </xf>
    <xf numFmtId="171" fontId="19" fillId="0" borderId="12" xfId="308" applyFont="1" applyFill="1" applyBorder="1" applyAlignment="1">
      <alignment horizontal="left" wrapText="1"/>
    </xf>
    <xf numFmtId="171" fontId="19" fillId="0" borderId="22" xfId="308" applyFont="1" applyFill="1" applyBorder="1" applyAlignment="1">
      <alignment horizontal="left" wrapText="1"/>
    </xf>
    <xf numFmtId="0" fontId="85" fillId="33" borderId="21" xfId="0" applyFont="1" applyFill="1" applyBorder="1" applyAlignment="1">
      <alignment horizontal="left" wrapText="1"/>
    </xf>
    <xf numFmtId="0" fontId="85" fillId="33" borderId="12" xfId="0" applyFont="1" applyFill="1" applyBorder="1" applyAlignment="1">
      <alignment horizontal="left" wrapText="1"/>
    </xf>
    <xf numFmtId="0" fontId="85" fillId="33" borderId="22" xfId="0" applyFont="1" applyFill="1" applyBorder="1" applyAlignment="1">
      <alignment horizontal="left" wrapText="1"/>
    </xf>
    <xf numFmtId="0" fontId="73" fillId="0" borderId="21" xfId="0" applyNumberFormat="1" applyFont="1" applyBorder="1" applyAlignment="1">
      <alignment horizontal="left" vertical="center" wrapText="1"/>
    </xf>
    <xf numFmtId="0" fontId="73" fillId="0" borderId="12" xfId="0" applyNumberFormat="1" applyFont="1" applyBorder="1" applyAlignment="1">
      <alignment horizontal="left" vertical="center" wrapText="1"/>
    </xf>
    <xf numFmtId="0" fontId="73" fillId="0" borderId="22" xfId="0" applyNumberFormat="1" applyFont="1" applyBorder="1" applyAlignment="1">
      <alignment horizontal="left" vertical="center" wrapText="1"/>
    </xf>
    <xf numFmtId="0" fontId="85" fillId="0" borderId="21" xfId="0" applyNumberFormat="1" applyFont="1" applyBorder="1" applyAlignment="1">
      <alignment horizontal="left" vertical="center" wrapText="1"/>
    </xf>
    <xf numFmtId="0" fontId="85" fillId="0" borderId="12" xfId="0" applyNumberFormat="1" applyFont="1" applyBorder="1" applyAlignment="1">
      <alignment horizontal="left" vertical="center" wrapText="1"/>
    </xf>
    <xf numFmtId="0" fontId="85" fillId="0" borderId="22" xfId="0" applyNumberFormat="1" applyFont="1" applyBorder="1" applyAlignment="1">
      <alignment horizontal="left" vertical="center" wrapText="1"/>
    </xf>
    <xf numFmtId="0" fontId="73" fillId="33" borderId="21" xfId="0" applyNumberFormat="1" applyFont="1" applyFill="1" applyBorder="1" applyAlignment="1">
      <alignment horizontal="left" vertical="center" wrapText="1"/>
    </xf>
    <xf numFmtId="0" fontId="73" fillId="33" borderId="12" xfId="0" applyNumberFormat="1" applyFont="1" applyFill="1" applyBorder="1" applyAlignment="1">
      <alignment horizontal="left" vertical="center" wrapText="1"/>
    </xf>
    <xf numFmtId="0" fontId="73" fillId="33" borderId="22" xfId="0" applyNumberFormat="1" applyFont="1" applyFill="1" applyBorder="1" applyAlignment="1">
      <alignment horizontal="left" vertical="center" wrapText="1"/>
    </xf>
    <xf numFmtId="0" fontId="73" fillId="0" borderId="10" xfId="0" applyNumberFormat="1" applyFont="1" applyBorder="1" applyAlignment="1">
      <alignment horizontal="left" vertical="center" wrapText="1"/>
    </xf>
    <xf numFmtId="0" fontId="73" fillId="0" borderId="21" xfId="308" applyNumberFormat="1" applyFont="1" applyFill="1" applyBorder="1" applyAlignment="1">
      <alignment horizontal="left" vertical="center" wrapText="1"/>
    </xf>
    <xf numFmtId="0" fontId="73" fillId="0" borderId="12" xfId="308" applyNumberFormat="1" applyFont="1" applyFill="1" applyBorder="1" applyAlignment="1">
      <alignment horizontal="left" vertical="center" wrapText="1"/>
    </xf>
    <xf numFmtId="0" fontId="73" fillId="0" borderId="22" xfId="308" applyNumberFormat="1" applyFont="1" applyFill="1" applyBorder="1" applyAlignment="1">
      <alignment horizontal="left" vertical="center" wrapText="1"/>
    </xf>
    <xf numFmtId="0" fontId="85" fillId="33" borderId="21" xfId="308" applyNumberFormat="1" applyFont="1" applyFill="1" applyBorder="1" applyAlignment="1">
      <alignment horizontal="left" wrapText="1"/>
    </xf>
    <xf numFmtId="0" fontId="85" fillId="33" borderId="12" xfId="308" applyNumberFormat="1" applyFont="1" applyFill="1" applyBorder="1" applyAlignment="1">
      <alignment horizontal="left" wrapText="1"/>
    </xf>
    <xf numFmtId="0" fontId="85" fillId="33" borderId="22" xfId="308" applyNumberFormat="1" applyFont="1" applyFill="1" applyBorder="1" applyAlignment="1">
      <alignment horizontal="left" wrapText="1"/>
    </xf>
    <xf numFmtId="0" fontId="73" fillId="0" borderId="21" xfId="321" applyNumberFormat="1" applyFont="1" applyFill="1" applyBorder="1" applyAlignment="1">
      <alignment horizontal="left" vertical="center" wrapText="1"/>
    </xf>
    <xf numFmtId="0" fontId="73" fillId="0" borderId="12" xfId="321" applyNumberFormat="1" applyFont="1" applyFill="1" applyBorder="1" applyAlignment="1">
      <alignment horizontal="left" vertical="center" wrapText="1"/>
    </xf>
    <xf numFmtId="0" fontId="73" fillId="0" borderId="22" xfId="321" applyNumberFormat="1" applyFont="1" applyFill="1" applyBorder="1" applyAlignment="1">
      <alignment horizontal="left" vertical="center" wrapText="1"/>
    </xf>
    <xf numFmtId="0" fontId="73" fillId="39" borderId="21" xfId="321" applyNumberFormat="1" applyFont="1" applyFill="1" applyBorder="1" applyAlignment="1">
      <alignment horizontal="left" vertical="center" wrapText="1"/>
    </xf>
    <xf numFmtId="0" fontId="73" fillId="39" borderId="12" xfId="321" applyNumberFormat="1" applyFont="1" applyFill="1" applyBorder="1" applyAlignment="1">
      <alignment horizontal="left" vertical="center" wrapText="1"/>
    </xf>
    <xf numFmtId="0" fontId="73" fillId="39" borderId="22" xfId="321" applyNumberFormat="1" applyFont="1" applyFill="1" applyBorder="1" applyAlignment="1">
      <alignment horizontal="left" vertical="center" wrapText="1"/>
    </xf>
    <xf numFmtId="0" fontId="20" fillId="0" borderId="0" xfId="299" applyFont="1" applyFill="1" applyBorder="1" applyAlignment="1">
      <alignment horizontal="left" wrapText="1"/>
      <protection/>
    </xf>
    <xf numFmtId="0" fontId="20" fillId="0" borderId="0" xfId="299" applyFont="1" applyFill="1" applyBorder="1" applyAlignment="1">
      <alignment horizontal="left" vertical="top" wrapText="1"/>
      <protection/>
    </xf>
    <xf numFmtId="0" fontId="17" fillId="0" borderId="0" xfId="299" applyFont="1" applyFill="1" applyBorder="1" applyAlignment="1">
      <alignment horizontal="left" vertical="center" wrapText="1"/>
      <protection/>
    </xf>
    <xf numFmtId="0" fontId="17" fillId="0" borderId="0" xfId="299" applyFont="1" applyFill="1" applyBorder="1" applyAlignment="1">
      <alignment horizontal="left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172" fontId="2" fillId="0" borderId="10" xfId="53" applyNumberFormat="1" applyFont="1" applyFill="1" applyBorder="1" applyAlignment="1">
      <alignment horizontal="left" vertical="center" wrapText="1"/>
      <protection/>
    </xf>
    <xf numFmtId="172" fontId="3" fillId="0" borderId="0" xfId="53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172" fontId="12" fillId="35" borderId="31" xfId="53" applyNumberFormat="1" applyFont="1" applyFill="1" applyBorder="1" applyAlignment="1">
      <alignment horizontal="center" vertical="center" wrapText="1"/>
      <protection/>
    </xf>
    <xf numFmtId="172" fontId="12" fillId="35" borderId="32" xfId="53" applyNumberFormat="1" applyFont="1" applyFill="1" applyBorder="1" applyAlignment="1">
      <alignment horizontal="center" vertical="center" wrapText="1"/>
      <protection/>
    </xf>
    <xf numFmtId="172" fontId="12" fillId="35" borderId="33" xfId="53" applyNumberFormat="1" applyFont="1" applyFill="1" applyBorder="1" applyAlignment="1">
      <alignment horizontal="center" vertical="center" wrapText="1"/>
      <protection/>
    </xf>
    <xf numFmtId="0" fontId="93" fillId="34" borderId="31" xfId="0" applyFont="1" applyFill="1" applyBorder="1" applyAlignment="1">
      <alignment horizontal="center" vertical="center" wrapText="1"/>
    </xf>
    <xf numFmtId="0" fontId="93" fillId="34" borderId="32" xfId="0" applyFont="1" applyFill="1" applyBorder="1" applyAlignment="1">
      <alignment horizontal="center" vertical="center" wrapText="1"/>
    </xf>
    <xf numFmtId="0" fontId="93" fillId="34" borderId="33" xfId="0" applyFont="1" applyFill="1" applyBorder="1" applyAlignment="1">
      <alignment horizontal="center" vertical="center" wrapText="1"/>
    </xf>
    <xf numFmtId="0" fontId="93" fillId="34" borderId="18" xfId="0" applyFont="1" applyFill="1" applyBorder="1" applyAlignment="1">
      <alignment horizontal="center" vertical="top" wrapText="1"/>
    </xf>
    <xf numFmtId="0" fontId="93" fillId="34" borderId="19" xfId="0" applyFont="1" applyFill="1" applyBorder="1" applyAlignment="1">
      <alignment horizontal="center" vertical="top" wrapText="1"/>
    </xf>
    <xf numFmtId="0" fontId="93" fillId="34" borderId="20" xfId="0" applyFont="1" applyFill="1" applyBorder="1" applyAlignment="1">
      <alignment horizontal="center" vertical="top" wrapText="1"/>
    </xf>
    <xf numFmtId="0" fontId="81" fillId="34" borderId="18" xfId="0" applyFont="1" applyFill="1" applyBorder="1" applyAlignment="1">
      <alignment horizontal="left" vertical="top" wrapText="1"/>
    </xf>
    <xf numFmtId="0" fontId="81" fillId="34" borderId="19" xfId="0" applyFont="1" applyFill="1" applyBorder="1" applyAlignment="1">
      <alignment horizontal="left" vertical="top" wrapText="1"/>
    </xf>
    <xf numFmtId="0" fontId="81" fillId="34" borderId="20" xfId="0" applyFont="1" applyFill="1" applyBorder="1" applyAlignment="1">
      <alignment horizontal="left" vertical="top" wrapText="1"/>
    </xf>
    <xf numFmtId="2" fontId="81" fillId="34" borderId="18" xfId="0" applyNumberFormat="1" applyFont="1" applyFill="1" applyBorder="1" applyAlignment="1">
      <alignment horizontal="center" vertical="top" wrapText="1"/>
    </xf>
    <xf numFmtId="2" fontId="81" fillId="34" borderId="19" xfId="0" applyNumberFormat="1" applyFont="1" applyFill="1" applyBorder="1" applyAlignment="1">
      <alignment horizontal="center" vertical="top" wrapText="1"/>
    </xf>
    <xf numFmtId="2" fontId="81" fillId="34" borderId="20" xfId="0" applyNumberFormat="1" applyFont="1" applyFill="1" applyBorder="1" applyAlignment="1">
      <alignment horizontal="center" vertical="top" wrapText="1"/>
    </xf>
    <xf numFmtId="2" fontId="81" fillId="34" borderId="26" xfId="0" applyNumberFormat="1" applyFont="1" applyFill="1" applyBorder="1" applyAlignment="1">
      <alignment horizontal="center" vertical="top" wrapText="1"/>
    </xf>
    <xf numFmtId="2" fontId="81" fillId="34" borderId="0" xfId="0" applyNumberFormat="1" applyFont="1" applyFill="1" applyBorder="1" applyAlignment="1">
      <alignment horizontal="center" vertical="top" wrapText="1"/>
    </xf>
    <xf numFmtId="2" fontId="81" fillId="34" borderId="27" xfId="0" applyNumberFormat="1" applyFont="1" applyFill="1" applyBorder="1" applyAlignment="1">
      <alignment horizontal="center" vertical="top" wrapText="1"/>
    </xf>
    <xf numFmtId="172" fontId="2" fillId="0" borderId="21" xfId="53" applyNumberFormat="1" applyFont="1" applyFill="1" applyBorder="1" applyAlignment="1">
      <alignment horizontal="left" vertical="center" wrapText="1"/>
      <protection/>
    </xf>
    <xf numFmtId="172" fontId="2" fillId="0" borderId="22" xfId="53" applyNumberFormat="1" applyFont="1" applyFill="1" applyBorder="1" applyAlignment="1">
      <alignment horizontal="left" vertical="center" wrapText="1"/>
      <protection/>
    </xf>
    <xf numFmtId="0" fontId="81" fillId="34" borderId="0" xfId="0" applyFont="1" applyFill="1" applyBorder="1" applyAlignment="1">
      <alignment horizontal="center" vertical="top" wrapText="1"/>
    </xf>
    <xf numFmtId="0" fontId="23" fillId="0" borderId="0" xfId="299" applyFont="1" applyFill="1" applyBorder="1" applyAlignment="1">
      <alignment horizontal="left" vertical="center" wrapText="1"/>
      <protection/>
    </xf>
    <xf numFmtId="0" fontId="88" fillId="0" borderId="14" xfId="0" applyFont="1" applyFill="1" applyBorder="1" applyAlignment="1">
      <alignment horizontal="center"/>
    </xf>
    <xf numFmtId="0" fontId="88" fillId="0" borderId="28" xfId="0" applyFont="1" applyFill="1" applyBorder="1" applyAlignment="1">
      <alignment horizontal="center"/>
    </xf>
    <xf numFmtId="0" fontId="88" fillId="0" borderId="16" xfId="0" applyFont="1" applyFill="1" applyBorder="1" applyAlignment="1">
      <alignment horizontal="center"/>
    </xf>
    <xf numFmtId="0" fontId="88" fillId="0" borderId="29" xfId="0" applyFont="1" applyFill="1" applyBorder="1" applyAlignment="1">
      <alignment horizontal="center"/>
    </xf>
    <xf numFmtId="0" fontId="88" fillId="0" borderId="17" xfId="0" applyFont="1" applyFill="1" applyBorder="1" applyAlignment="1">
      <alignment horizontal="center"/>
    </xf>
    <xf numFmtId="0" fontId="88" fillId="0" borderId="3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23" fillId="0" borderId="10" xfId="53" applyNumberFormat="1" applyFont="1" applyFill="1" applyBorder="1" applyAlignment="1">
      <alignment horizontal="left" vertical="center" wrapText="1"/>
      <protection/>
    </xf>
    <xf numFmtId="0" fontId="92" fillId="0" borderId="10" xfId="0" applyNumberFormat="1" applyFont="1" applyFill="1" applyBorder="1" applyAlignment="1">
      <alignment horizontal="left" vertical="center" wrapText="1"/>
    </xf>
    <xf numFmtId="172" fontId="12" fillId="0" borderId="10" xfId="53" applyNumberFormat="1" applyFont="1" applyFill="1" applyBorder="1" applyAlignment="1">
      <alignment horizontal="left" vertical="center" wrapText="1"/>
      <protection/>
    </xf>
    <xf numFmtId="172" fontId="15" fillId="0" borderId="10" xfId="53" applyNumberFormat="1" applyFont="1" applyFill="1" applyBorder="1" applyAlignment="1">
      <alignment horizontal="center" vertical="center" wrapText="1"/>
      <protection/>
    </xf>
    <xf numFmtId="0" fontId="91" fillId="43" borderId="18" xfId="0" applyFont="1" applyFill="1" applyBorder="1" applyAlignment="1">
      <alignment horizontal="center" vertical="center"/>
    </xf>
    <xf numFmtId="0" fontId="91" fillId="43" borderId="19" xfId="0" applyFont="1" applyFill="1" applyBorder="1" applyAlignment="1">
      <alignment horizontal="center" vertical="center"/>
    </xf>
    <xf numFmtId="0" fontId="91" fillId="43" borderId="2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94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2" fillId="34" borderId="21" xfId="308" applyNumberFormat="1" applyFont="1" applyFill="1" applyBorder="1" applyAlignment="1">
      <alignment horizontal="left" vertical="center" wrapText="1"/>
    </xf>
    <xf numFmtId="43" fontId="2" fillId="0" borderId="24" xfId="434" applyFont="1" applyFill="1" applyBorder="1" applyAlignment="1">
      <alignment/>
    </xf>
    <xf numFmtId="2" fontId="2" fillId="0" borderId="24" xfId="434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/>
    </xf>
    <xf numFmtId="43" fontId="2" fillId="0" borderId="10" xfId="434" applyFont="1" applyFill="1" applyBorder="1" applyAlignment="1">
      <alignment/>
    </xf>
    <xf numFmtId="2" fontId="2" fillId="33" borderId="10" xfId="434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10" fontId="5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34" borderId="10" xfId="308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2" fontId="3" fillId="34" borderId="10" xfId="443" applyNumberFormat="1" applyFont="1" applyFill="1" applyBorder="1" applyAlignment="1">
      <alignment/>
    </xf>
    <xf numFmtId="43" fontId="2" fillId="0" borderId="10" xfId="434" applyFont="1" applyFill="1" applyBorder="1" applyAlignment="1">
      <alignment vertical="center"/>
    </xf>
    <xf numFmtId="2" fontId="2" fillId="0" borderId="10" xfId="434" applyNumberFormat="1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vertical="center"/>
    </xf>
    <xf numFmtId="43" fontId="95" fillId="0" borderId="10" xfId="434" applyFont="1" applyFill="1" applyBorder="1" applyAlignment="1">
      <alignment vertical="center"/>
    </xf>
    <xf numFmtId="4" fontId="5" fillId="36" borderId="12" xfId="0" applyNumberFormat="1" applyFont="1" applyFill="1" applyBorder="1" applyAlignment="1">
      <alignment/>
    </xf>
    <xf numFmtId="4" fontId="4" fillId="36" borderId="12" xfId="443" applyNumberFormat="1" applyFont="1" applyFill="1" applyBorder="1" applyAlignment="1">
      <alignment/>
    </xf>
    <xf numFmtId="4" fontId="6" fillId="36" borderId="24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/>
    </xf>
    <xf numFmtId="10" fontId="5" fillId="36" borderId="10" xfId="0" applyNumberFormat="1" applyFont="1" applyFill="1" applyBorder="1" applyAlignment="1">
      <alignment vertical="center"/>
    </xf>
    <xf numFmtId="4" fontId="3" fillId="34" borderId="10" xfId="443" applyNumberFormat="1" applyFont="1" applyFill="1" applyBorder="1" applyAlignment="1">
      <alignment/>
    </xf>
    <xf numFmtId="4" fontId="6" fillId="34" borderId="2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3" fillId="34" borderId="10" xfId="443" applyNumberFormat="1" applyFont="1" applyFill="1" applyBorder="1" applyAlignment="1">
      <alignment vertical="center"/>
    </xf>
    <xf numFmtId="4" fontId="3" fillId="34" borderId="12" xfId="443" applyNumberFormat="1" applyFont="1" applyFill="1" applyBorder="1" applyAlignment="1">
      <alignment vertical="center"/>
    </xf>
    <xf numFmtId="4" fontId="3" fillId="36" borderId="12" xfId="443" applyNumberFormat="1" applyFont="1" applyFill="1" applyBorder="1" applyAlignment="1">
      <alignment vertical="center"/>
    </xf>
    <xf numFmtId="4" fontId="3" fillId="36" borderId="12" xfId="0" applyNumberFormat="1" applyFont="1" applyFill="1" applyBorder="1" applyAlignment="1">
      <alignment vertical="center"/>
    </xf>
    <xf numFmtId="4" fontId="6" fillId="36" borderId="12" xfId="0" applyNumberFormat="1" applyFont="1" applyFill="1" applyBorder="1" applyAlignment="1">
      <alignment vertical="center"/>
    </xf>
    <xf numFmtId="4" fontId="6" fillId="36" borderId="22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43" fontId="2" fillId="33" borderId="10" xfId="434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0" fontId="4" fillId="34" borderId="10" xfId="0" applyNumberFormat="1" applyFont="1" applyFill="1" applyBorder="1" applyAlignment="1">
      <alignment/>
    </xf>
    <xf numFmtId="43" fontId="2" fillId="33" borderId="10" xfId="434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34" borderId="22" xfId="0" applyNumberFormat="1" applyFont="1" applyFill="1" applyBorder="1" applyAlignment="1">
      <alignment vertical="center"/>
    </xf>
    <xf numFmtId="4" fontId="6" fillId="34" borderId="11" xfId="0" applyNumberFormat="1" applyFont="1" applyFill="1" applyBorder="1" applyAlignment="1">
      <alignment vertical="center"/>
    </xf>
    <xf numFmtId="4" fontId="6" fillId="34" borderId="30" xfId="0" applyNumberFormat="1" applyFont="1" applyFill="1" applyBorder="1" applyAlignment="1">
      <alignment vertical="center"/>
    </xf>
    <xf numFmtId="4" fontId="5" fillId="34" borderId="22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5" fillId="36" borderId="22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 vertical="center"/>
    </xf>
    <xf numFmtId="43" fontId="2" fillId="0" borderId="10" xfId="434" applyFont="1" applyFill="1" applyBorder="1" applyAlignment="1" quotePrefix="1">
      <alignment/>
    </xf>
    <xf numFmtId="0" fontId="8" fillId="0" borderId="0" xfId="0" applyFont="1" applyAlignment="1">
      <alignment/>
    </xf>
    <xf numFmtId="4" fontId="3" fillId="0" borderId="24" xfId="0" applyNumberFormat="1" applyFont="1" applyFill="1" applyBorder="1" applyAlignment="1">
      <alignment vertical="center"/>
    </xf>
    <xf numFmtId="10" fontId="4" fillId="34" borderId="10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/>
    </xf>
    <xf numFmtId="4" fontId="6" fillId="34" borderId="22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43" fontId="2" fillId="0" borderId="13" xfId="434" applyFont="1" applyFill="1" applyBorder="1" applyAlignment="1">
      <alignment/>
    </xf>
    <xf numFmtId="10" fontId="96" fillId="34" borderId="10" xfId="0" applyNumberFormat="1" applyFont="1" applyFill="1" applyBorder="1" applyAlignment="1">
      <alignment/>
    </xf>
    <xf numFmtId="4" fontId="3" fillId="36" borderId="22" xfId="443" applyNumberFormat="1" applyFont="1" applyFill="1" applyBorder="1" applyAlignment="1">
      <alignment vertical="center"/>
    </xf>
    <xf numFmtId="4" fontId="4" fillId="36" borderId="22" xfId="443" applyNumberFormat="1" applyFont="1" applyFill="1" applyBorder="1" applyAlignment="1">
      <alignment vertical="center"/>
    </xf>
    <xf numFmtId="10" fontId="4" fillId="36" borderId="10" xfId="0" applyNumberFormat="1" applyFont="1" applyFill="1" applyBorder="1" applyAlignment="1">
      <alignment vertical="center"/>
    </xf>
    <xf numFmtId="0" fontId="3" fillId="34" borderId="10" xfId="443" applyNumberFormat="1" applyFont="1" applyFill="1" applyBorder="1" applyAlignment="1">
      <alignment horizontal="right" vertical="center" wrapText="1"/>
    </xf>
    <xf numFmtId="0" fontId="2" fillId="0" borderId="10" xfId="434" applyNumberFormat="1" applyFont="1" applyFill="1" applyBorder="1" applyAlignment="1">
      <alignment horizontal="right"/>
    </xf>
    <xf numFmtId="0" fontId="2" fillId="33" borderId="10" xfId="443" applyNumberFormat="1" applyFont="1" applyFill="1" applyBorder="1" applyAlignment="1">
      <alignment horizontal="right"/>
    </xf>
    <xf numFmtId="0" fontId="3" fillId="34" borderId="10" xfId="308" applyNumberFormat="1" applyFont="1" applyFill="1" applyBorder="1" applyAlignment="1">
      <alignment horizontal="right" vertical="center" wrapText="1"/>
    </xf>
    <xf numFmtId="0" fontId="3" fillId="34" borderId="10" xfId="308" applyNumberFormat="1" applyFont="1" applyFill="1" applyBorder="1" applyAlignment="1">
      <alignment horizontal="right" wrapText="1"/>
    </xf>
    <xf numFmtId="0" fontId="2" fillId="0" borderId="10" xfId="434" applyNumberFormat="1" applyFont="1" applyFill="1" applyBorder="1" applyAlignment="1">
      <alignment horizontal="right" vertical="center" wrapText="1"/>
    </xf>
    <xf numFmtId="0" fontId="94" fillId="34" borderId="10" xfId="443" applyNumberFormat="1" applyFont="1" applyFill="1" applyBorder="1" applyAlignment="1">
      <alignment horizontal="right" vertical="center" wrapText="1"/>
    </xf>
    <xf numFmtId="0" fontId="95" fillId="0" borderId="10" xfId="434" applyNumberFormat="1" applyFont="1" applyFill="1" applyBorder="1" applyAlignment="1">
      <alignment horizontal="right" vertical="center" wrapText="1"/>
    </xf>
    <xf numFmtId="0" fontId="4" fillId="36" borderId="12" xfId="443" applyNumberFormat="1" applyFont="1" applyFill="1" applyBorder="1" applyAlignment="1">
      <alignment horizontal="right" vertical="center" wrapText="1"/>
    </xf>
    <xf numFmtId="0" fontId="5" fillId="36" borderId="12" xfId="0" applyNumberFormat="1" applyFont="1" applyFill="1" applyBorder="1" applyAlignment="1">
      <alignment horizontal="right" wrapText="1"/>
    </xf>
    <xf numFmtId="0" fontId="2" fillId="34" borderId="21" xfId="308" applyNumberFormat="1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2" fillId="33" borderId="10" xfId="434" applyNumberFormat="1" applyFont="1" applyFill="1" applyBorder="1" applyAlignment="1">
      <alignment horizontal="right" wrapText="1"/>
    </xf>
    <xf numFmtId="1" fontId="2" fillId="33" borderId="10" xfId="434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right" vertical="center" wrapText="1"/>
    </xf>
    <xf numFmtId="0" fontId="6" fillId="34" borderId="10" xfId="0" applyNumberFormat="1" applyFont="1" applyFill="1" applyBorder="1" applyAlignment="1">
      <alignment horizontal="right" wrapText="1"/>
    </xf>
    <xf numFmtId="0" fontId="2" fillId="33" borderId="10" xfId="434" applyNumberFormat="1" applyFont="1" applyFill="1" applyBorder="1" applyAlignment="1">
      <alignment horizontal="right" vertical="center"/>
    </xf>
    <xf numFmtId="0" fontId="3" fillId="34" borderId="12" xfId="0" applyNumberFormat="1" applyFont="1" applyFill="1" applyBorder="1" applyAlignment="1">
      <alignment horizontal="right" vertical="center" wrapText="1"/>
    </xf>
    <xf numFmtId="0" fontId="5" fillId="36" borderId="12" xfId="0" applyNumberFormat="1" applyFont="1" applyFill="1" applyBorder="1" applyAlignment="1">
      <alignment horizontal="right" vertical="center" wrapText="1"/>
    </xf>
    <xf numFmtId="0" fontId="5" fillId="34" borderId="11" xfId="0" applyNumberFormat="1" applyFont="1" applyFill="1" applyBorder="1" applyAlignment="1">
      <alignment horizontal="right" vertical="center" wrapText="1"/>
    </xf>
    <xf numFmtId="0" fontId="2" fillId="33" borderId="10" xfId="434" applyNumberFormat="1" applyFont="1" applyFill="1" applyBorder="1" applyAlignment="1">
      <alignment horizontal="right"/>
    </xf>
    <xf numFmtId="0" fontId="3" fillId="34" borderId="10" xfId="433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wrapText="1"/>
    </xf>
    <xf numFmtId="0" fontId="3" fillId="0" borderId="10" xfId="433" applyNumberFormat="1" applyFont="1" applyFill="1" applyBorder="1" applyAlignment="1">
      <alignment horizontal="right" vertical="center" wrapText="1"/>
    </xf>
    <xf numFmtId="0" fontId="2" fillId="0" borderId="10" xfId="434" applyNumberFormat="1" applyFont="1" applyFill="1" applyBorder="1" applyAlignment="1">
      <alignment horizontal="right" wrapText="1"/>
    </xf>
    <xf numFmtId="0" fontId="0" fillId="0" borderId="0" xfId="0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1" fontId="2" fillId="33" borderId="10" xfId="434" applyNumberFormat="1" applyFont="1" applyFill="1" applyBorder="1" applyAlignment="1">
      <alignment horizontal="right"/>
    </xf>
    <xf numFmtId="0" fontId="17" fillId="0" borderId="0" xfId="45" applyFont="1" applyAlignment="1" applyProtection="1">
      <alignment horizontal="right"/>
      <protection/>
    </xf>
    <xf numFmtId="0" fontId="3" fillId="34" borderId="10" xfId="443" applyNumberFormat="1" applyFont="1" applyFill="1" applyBorder="1" applyAlignment="1">
      <alignment horizontal="right" wrapText="1"/>
    </xf>
    <xf numFmtId="0" fontId="3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right" vertical="center" wrapText="1"/>
    </xf>
    <xf numFmtId="0" fontId="94" fillId="34" borderId="10" xfId="0" applyNumberFormat="1" applyFont="1" applyFill="1" applyBorder="1" applyAlignment="1">
      <alignment horizontal="right" vertical="center" wrapText="1"/>
    </xf>
    <xf numFmtId="0" fontId="3" fillId="36" borderId="12" xfId="0" applyFont="1" applyFill="1" applyBorder="1" applyAlignment="1">
      <alignment horizontal="right" vertical="center"/>
    </xf>
    <xf numFmtId="0" fontId="6" fillId="36" borderId="12" xfId="0" applyNumberFormat="1" applyFont="1" applyFill="1" applyBorder="1" applyAlignment="1">
      <alignment horizontal="right" vertical="center" wrapText="1"/>
    </xf>
    <xf numFmtId="0" fontId="6" fillId="34" borderId="11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/>
    </xf>
    <xf numFmtId="0" fontId="5" fillId="36" borderId="10" xfId="0" applyNumberFormat="1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21" xfId="308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5" fillId="36" borderId="10" xfId="0" applyNumberFormat="1" applyFont="1" applyFill="1" applyBorder="1" applyAlignment="1">
      <alignment horizontal="left" wrapText="1"/>
    </xf>
    <xf numFmtId="0" fontId="94" fillId="34" borderId="0" xfId="0" applyFont="1" applyFill="1" applyAlignment="1">
      <alignment horizontal="left" wrapText="1"/>
    </xf>
    <xf numFmtId="0" fontId="2" fillId="34" borderId="10" xfId="308" applyNumberFormat="1" applyFont="1" applyFill="1" applyBorder="1" applyAlignment="1">
      <alignment horizontal="left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top"/>
    </xf>
    <xf numFmtId="171" fontId="2" fillId="34" borderId="10" xfId="434" applyNumberFormat="1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 wrapText="1"/>
    </xf>
    <xf numFmtId="0" fontId="5" fillId="36" borderId="2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2" fillId="0" borderId="0" xfId="45" applyFont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left" vertical="center" wrapText="1"/>
    </xf>
  </cellXfs>
  <cellStyles count="43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10" xfId="53"/>
    <cellStyle name="Normal 2 11" xfId="54"/>
    <cellStyle name="Normal 2 12" xfId="55"/>
    <cellStyle name="Normal 2 13" xfId="56"/>
    <cellStyle name="Normal 2 14" xfId="57"/>
    <cellStyle name="Normal 2 15" xfId="58"/>
    <cellStyle name="Normal 2 16" xfId="59"/>
    <cellStyle name="Normal 2 17" xfId="60"/>
    <cellStyle name="Normal 2 18" xfId="61"/>
    <cellStyle name="Normal 2 19" xfId="62"/>
    <cellStyle name="Normal 2 2" xfId="63"/>
    <cellStyle name="Normal 2 2 10" xfId="64"/>
    <cellStyle name="Normal 2 2 11" xfId="65"/>
    <cellStyle name="Normal 2 2 12" xfId="66"/>
    <cellStyle name="Normal 2 2 13" xfId="67"/>
    <cellStyle name="Normal 2 2 14" xfId="68"/>
    <cellStyle name="Normal 2 2 15" xfId="69"/>
    <cellStyle name="Normal 2 2 16" xfId="70"/>
    <cellStyle name="Normal 2 2 17" xfId="71"/>
    <cellStyle name="Normal 2 2 18" xfId="72"/>
    <cellStyle name="Normal 2 2 19" xfId="73"/>
    <cellStyle name="Normal 2 2 2" xfId="74"/>
    <cellStyle name="Normal 2 2 20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20" xfId="83"/>
    <cellStyle name="Normal 2 21" xfId="84"/>
    <cellStyle name="Normal 2 22" xfId="85"/>
    <cellStyle name="Normal 2 23" xfId="86"/>
    <cellStyle name="Normal 2 24" xfId="87"/>
    <cellStyle name="Normal 2 25" xfId="88"/>
    <cellStyle name="Normal 2 26" xfId="89"/>
    <cellStyle name="Normal 2 27" xfId="90"/>
    <cellStyle name="Normal 2 3" xfId="91"/>
    <cellStyle name="Normal 2 3 10" xfId="92"/>
    <cellStyle name="Normal 2 3 11" xfId="93"/>
    <cellStyle name="Normal 2 3 12" xfId="94"/>
    <cellStyle name="Normal 2 3 13" xfId="95"/>
    <cellStyle name="Normal 2 3 14" xfId="96"/>
    <cellStyle name="Normal 2 3 15" xfId="97"/>
    <cellStyle name="Normal 2 3 16" xfId="98"/>
    <cellStyle name="Normal 2 3 17" xfId="99"/>
    <cellStyle name="Normal 2 3 18" xfId="100"/>
    <cellStyle name="Normal 2 3 19" xfId="101"/>
    <cellStyle name="Normal 2 3 2" xfId="102"/>
    <cellStyle name="Normal 2 3 20" xfId="103"/>
    <cellStyle name="Normal 2 3 3" xfId="104"/>
    <cellStyle name="Normal 2 3 4" xfId="105"/>
    <cellStyle name="Normal 2 3 5" xfId="106"/>
    <cellStyle name="Normal 2 3 6" xfId="107"/>
    <cellStyle name="Normal 2 3 7" xfId="108"/>
    <cellStyle name="Normal 2 3 8" xfId="109"/>
    <cellStyle name="Normal 2 3 9" xfId="110"/>
    <cellStyle name="Normal 2 4" xfId="111"/>
    <cellStyle name="Normal 2 4 10" xfId="112"/>
    <cellStyle name="Normal 2 4 11" xfId="113"/>
    <cellStyle name="Normal 2 4 12" xfId="114"/>
    <cellStyle name="Normal 2 4 13" xfId="115"/>
    <cellStyle name="Normal 2 4 14" xfId="116"/>
    <cellStyle name="Normal 2 4 15" xfId="117"/>
    <cellStyle name="Normal 2 4 16" xfId="118"/>
    <cellStyle name="Normal 2 4 17" xfId="119"/>
    <cellStyle name="Normal 2 4 18" xfId="120"/>
    <cellStyle name="Normal 2 4 19" xfId="121"/>
    <cellStyle name="Normal 2 4 2" xfId="122"/>
    <cellStyle name="Normal 2 4 20" xfId="123"/>
    <cellStyle name="Normal 2 4 3" xfId="124"/>
    <cellStyle name="Normal 2 4 4" xfId="125"/>
    <cellStyle name="Normal 2 4 5" xfId="126"/>
    <cellStyle name="Normal 2 4 6" xfId="127"/>
    <cellStyle name="Normal 2 4 7" xfId="128"/>
    <cellStyle name="Normal 2 4 8" xfId="129"/>
    <cellStyle name="Normal 2 4 9" xfId="130"/>
    <cellStyle name="Normal 2 5" xfId="131"/>
    <cellStyle name="Normal 2 5 10" xfId="132"/>
    <cellStyle name="Normal 2 5 11" xfId="133"/>
    <cellStyle name="Normal 2 5 12" xfId="134"/>
    <cellStyle name="Normal 2 5 13" xfId="135"/>
    <cellStyle name="Normal 2 5 14" xfId="136"/>
    <cellStyle name="Normal 2 5 15" xfId="137"/>
    <cellStyle name="Normal 2 5 16" xfId="138"/>
    <cellStyle name="Normal 2 5 17" xfId="139"/>
    <cellStyle name="Normal 2 5 18" xfId="140"/>
    <cellStyle name="Normal 2 5 19" xfId="141"/>
    <cellStyle name="Normal 2 5 2" xfId="142"/>
    <cellStyle name="Normal 2 5 20" xfId="143"/>
    <cellStyle name="Normal 2 5 3" xfId="144"/>
    <cellStyle name="Normal 2 5 4" xfId="145"/>
    <cellStyle name="Normal 2 5 5" xfId="146"/>
    <cellStyle name="Normal 2 5 6" xfId="147"/>
    <cellStyle name="Normal 2 5 7" xfId="148"/>
    <cellStyle name="Normal 2 5 8" xfId="149"/>
    <cellStyle name="Normal 2 5 9" xfId="150"/>
    <cellStyle name="Normal 2 6" xfId="151"/>
    <cellStyle name="Normal 2 6 10" xfId="152"/>
    <cellStyle name="Normal 2 6 11" xfId="153"/>
    <cellStyle name="Normal 2 6 12" xfId="154"/>
    <cellStyle name="Normal 2 6 13" xfId="155"/>
    <cellStyle name="Normal 2 6 14" xfId="156"/>
    <cellStyle name="Normal 2 6 15" xfId="157"/>
    <cellStyle name="Normal 2 6 16" xfId="158"/>
    <cellStyle name="Normal 2 6 17" xfId="159"/>
    <cellStyle name="Normal 2 6 18" xfId="160"/>
    <cellStyle name="Normal 2 6 19" xfId="161"/>
    <cellStyle name="Normal 2 6 2" xfId="162"/>
    <cellStyle name="Normal 2 6 20" xfId="163"/>
    <cellStyle name="Normal 2 6 3" xfId="164"/>
    <cellStyle name="Normal 2 6 4" xfId="165"/>
    <cellStyle name="Normal 2 6 5" xfId="166"/>
    <cellStyle name="Normal 2 6 6" xfId="167"/>
    <cellStyle name="Normal 2 6 7" xfId="168"/>
    <cellStyle name="Normal 2 6 8" xfId="169"/>
    <cellStyle name="Normal 2 6 9" xfId="170"/>
    <cellStyle name="Normal 2 7" xfId="171"/>
    <cellStyle name="Normal 2 7 10" xfId="172"/>
    <cellStyle name="Normal 2 7 11" xfId="173"/>
    <cellStyle name="Normal 2 7 12" xfId="174"/>
    <cellStyle name="Normal 2 7 13" xfId="175"/>
    <cellStyle name="Normal 2 7 14" xfId="176"/>
    <cellStyle name="Normal 2 7 15" xfId="177"/>
    <cellStyle name="Normal 2 7 16" xfId="178"/>
    <cellStyle name="Normal 2 7 17" xfId="179"/>
    <cellStyle name="Normal 2 7 18" xfId="180"/>
    <cellStyle name="Normal 2 7 19" xfId="181"/>
    <cellStyle name="Normal 2 7 2" xfId="182"/>
    <cellStyle name="Normal 2 7 20" xfId="183"/>
    <cellStyle name="Normal 2 7 3" xfId="184"/>
    <cellStyle name="Normal 2 7 4" xfId="185"/>
    <cellStyle name="Normal 2 7 5" xfId="186"/>
    <cellStyle name="Normal 2 7 6" xfId="187"/>
    <cellStyle name="Normal 2 7 7" xfId="188"/>
    <cellStyle name="Normal 2 7 8" xfId="189"/>
    <cellStyle name="Normal 2 7 9" xfId="190"/>
    <cellStyle name="Normal 2 8" xfId="191"/>
    <cellStyle name="Normal 2 9" xfId="192"/>
    <cellStyle name="Normal 2_Planilha Valença" xfId="193"/>
    <cellStyle name="Normal 29" xfId="194"/>
    <cellStyle name="Normal 3" xfId="195"/>
    <cellStyle name="Normal 3 10" xfId="196"/>
    <cellStyle name="Normal 3 11" xfId="197"/>
    <cellStyle name="Normal 3 12" xfId="198"/>
    <cellStyle name="Normal 3 13" xfId="199"/>
    <cellStyle name="Normal 3 14" xfId="200"/>
    <cellStyle name="Normal 3 15" xfId="201"/>
    <cellStyle name="Normal 3 16" xfId="202"/>
    <cellStyle name="Normal 3 17" xfId="203"/>
    <cellStyle name="Normal 3 18" xfId="204"/>
    <cellStyle name="Normal 3 19" xfId="205"/>
    <cellStyle name="Normal 3 2" xfId="206"/>
    <cellStyle name="Normal 3 20" xfId="207"/>
    <cellStyle name="Normal 3 21" xfId="208"/>
    <cellStyle name="Normal 3 3" xfId="209"/>
    <cellStyle name="Normal 3 4" xfId="210"/>
    <cellStyle name="Normal 3 5" xfId="211"/>
    <cellStyle name="Normal 3 6" xfId="212"/>
    <cellStyle name="Normal 3 7" xfId="213"/>
    <cellStyle name="Normal 3 8" xfId="214"/>
    <cellStyle name="Normal 3 9" xfId="215"/>
    <cellStyle name="Normal 4" xfId="216"/>
    <cellStyle name="Normal 4 10" xfId="217"/>
    <cellStyle name="Normal 4 11" xfId="218"/>
    <cellStyle name="Normal 4 12" xfId="219"/>
    <cellStyle name="Normal 4 13" xfId="220"/>
    <cellStyle name="Normal 4 14" xfId="221"/>
    <cellStyle name="Normal 4 15" xfId="222"/>
    <cellStyle name="Normal 4 16" xfId="223"/>
    <cellStyle name="Normal 4 17" xfId="224"/>
    <cellStyle name="Normal 4 18" xfId="225"/>
    <cellStyle name="Normal 4 19" xfId="226"/>
    <cellStyle name="Normal 4 2" xfId="227"/>
    <cellStyle name="Normal 4 20" xfId="228"/>
    <cellStyle name="Normal 4 3" xfId="229"/>
    <cellStyle name="Normal 4 4" xfId="230"/>
    <cellStyle name="Normal 4 5" xfId="231"/>
    <cellStyle name="Normal 4 6" xfId="232"/>
    <cellStyle name="Normal 4 7" xfId="233"/>
    <cellStyle name="Normal 4 8" xfId="234"/>
    <cellStyle name="Normal 4 9" xfId="235"/>
    <cellStyle name="Normal 5" xfId="236"/>
    <cellStyle name="Normal 5 10" xfId="237"/>
    <cellStyle name="Normal 5 11" xfId="238"/>
    <cellStyle name="Normal 5 12" xfId="239"/>
    <cellStyle name="Normal 5 13" xfId="240"/>
    <cellStyle name="Normal 5 14" xfId="241"/>
    <cellStyle name="Normal 5 15" xfId="242"/>
    <cellStyle name="Normal 5 16" xfId="243"/>
    <cellStyle name="Normal 5 17" xfId="244"/>
    <cellStyle name="Normal 5 18" xfId="245"/>
    <cellStyle name="Normal 5 19" xfId="246"/>
    <cellStyle name="Normal 5 2" xfId="247"/>
    <cellStyle name="Normal 5 20" xfId="248"/>
    <cellStyle name="Normal 5 3" xfId="249"/>
    <cellStyle name="Normal 5 4" xfId="250"/>
    <cellStyle name="Normal 5 5" xfId="251"/>
    <cellStyle name="Normal 5 6" xfId="252"/>
    <cellStyle name="Normal 5 7" xfId="253"/>
    <cellStyle name="Normal 5 8" xfId="254"/>
    <cellStyle name="Normal 5 9" xfId="255"/>
    <cellStyle name="Normal 6" xfId="256"/>
    <cellStyle name="Normal 6 10" xfId="257"/>
    <cellStyle name="Normal 6 11" xfId="258"/>
    <cellStyle name="Normal 6 12" xfId="259"/>
    <cellStyle name="Normal 6 13" xfId="260"/>
    <cellStyle name="Normal 6 14" xfId="261"/>
    <cellStyle name="Normal 6 15" xfId="262"/>
    <cellStyle name="Normal 6 16" xfId="263"/>
    <cellStyle name="Normal 6 17" xfId="264"/>
    <cellStyle name="Normal 6 18" xfId="265"/>
    <cellStyle name="Normal 6 19" xfId="266"/>
    <cellStyle name="Normal 6 2" xfId="267"/>
    <cellStyle name="Normal 6 20" xfId="268"/>
    <cellStyle name="Normal 6 3" xfId="269"/>
    <cellStyle name="Normal 6 4" xfId="270"/>
    <cellStyle name="Normal 6 5" xfId="271"/>
    <cellStyle name="Normal 6 6" xfId="272"/>
    <cellStyle name="Normal 6 7" xfId="273"/>
    <cellStyle name="Normal 6 8" xfId="274"/>
    <cellStyle name="Normal 6 9" xfId="275"/>
    <cellStyle name="Normal 7" xfId="276"/>
    <cellStyle name="Normal 7 10" xfId="277"/>
    <cellStyle name="Normal 7 11" xfId="278"/>
    <cellStyle name="Normal 7 12" xfId="279"/>
    <cellStyle name="Normal 7 13" xfId="280"/>
    <cellStyle name="Normal 7 14" xfId="281"/>
    <cellStyle name="Normal 7 15" xfId="282"/>
    <cellStyle name="Normal 7 16" xfId="283"/>
    <cellStyle name="Normal 7 17" xfId="284"/>
    <cellStyle name="Normal 7 18" xfId="285"/>
    <cellStyle name="Normal 7 19" xfId="286"/>
    <cellStyle name="Normal 7 2" xfId="287"/>
    <cellStyle name="Normal 7 20" xfId="288"/>
    <cellStyle name="Normal 7 3" xfId="289"/>
    <cellStyle name="Normal 7 4" xfId="290"/>
    <cellStyle name="Normal 7 5" xfId="291"/>
    <cellStyle name="Normal 7 6" xfId="292"/>
    <cellStyle name="Normal 7 7" xfId="293"/>
    <cellStyle name="Normal 7 8" xfId="294"/>
    <cellStyle name="Normal 7 9" xfId="295"/>
    <cellStyle name="Normal 8" xfId="296"/>
    <cellStyle name="Normal 9" xfId="297"/>
    <cellStyle name="Normal_ORÇAMENTO-HAB" xfId="298"/>
    <cellStyle name="Normal_Planilha Elesbão Veloso - Urgência e Acesso Lavanderia" xfId="299"/>
    <cellStyle name="Nota" xfId="300"/>
    <cellStyle name="Percent" xfId="301"/>
    <cellStyle name="Porcentagem 2" xfId="302"/>
    <cellStyle name="Porcentagem 2 2" xfId="303"/>
    <cellStyle name="Porcentagem 2 3" xfId="304"/>
    <cellStyle name="Porcentagem 3" xfId="305"/>
    <cellStyle name="Saída" xfId="306"/>
    <cellStyle name="Comma [0]" xfId="307"/>
    <cellStyle name="Separador de milhares 10" xfId="308"/>
    <cellStyle name="Separador de milhares 11" xfId="309"/>
    <cellStyle name="Separador de milhares 2" xfId="310"/>
    <cellStyle name="Separador de milhares 2 10" xfId="311"/>
    <cellStyle name="Separador de milhares 2 11" xfId="312"/>
    <cellStyle name="Separador de milhares 2 12" xfId="313"/>
    <cellStyle name="Separador de milhares 2 13" xfId="314"/>
    <cellStyle name="Separador de milhares 2 14" xfId="315"/>
    <cellStyle name="Separador de milhares 2 15" xfId="316"/>
    <cellStyle name="Separador de milhares 2 16" xfId="317"/>
    <cellStyle name="Separador de milhares 2 17" xfId="318"/>
    <cellStyle name="Separador de milhares 2 18" xfId="319"/>
    <cellStyle name="Separador de milhares 2 19" xfId="320"/>
    <cellStyle name="Separador de milhares 2 2" xfId="321"/>
    <cellStyle name="Separador de milhares 2 20" xfId="322"/>
    <cellStyle name="Separador de milhares 2 21" xfId="323"/>
    <cellStyle name="Separador de milhares 2 3" xfId="324"/>
    <cellStyle name="Separador de milhares 2 4" xfId="325"/>
    <cellStyle name="Separador de milhares 2 5" xfId="326"/>
    <cellStyle name="Separador de milhares 2 6" xfId="327"/>
    <cellStyle name="Separador de milhares 2 7" xfId="328"/>
    <cellStyle name="Separador de milhares 2 8" xfId="329"/>
    <cellStyle name="Separador de milhares 2 9" xfId="330"/>
    <cellStyle name="Separador de milhares 29" xfId="331"/>
    <cellStyle name="Separador de milhares 3" xfId="332"/>
    <cellStyle name="Separador de milhares 3 10" xfId="333"/>
    <cellStyle name="Separador de milhares 3 11" xfId="334"/>
    <cellStyle name="Separador de milhares 3 12" xfId="335"/>
    <cellStyle name="Separador de milhares 3 13" xfId="336"/>
    <cellStyle name="Separador de milhares 3 14" xfId="337"/>
    <cellStyle name="Separador de milhares 3 15" xfId="338"/>
    <cellStyle name="Separador de milhares 3 16" xfId="339"/>
    <cellStyle name="Separador de milhares 3 17" xfId="340"/>
    <cellStyle name="Separador de milhares 3 18" xfId="341"/>
    <cellStyle name="Separador de milhares 3 19" xfId="342"/>
    <cellStyle name="Separador de milhares 3 2" xfId="343"/>
    <cellStyle name="Separador de milhares 3 20" xfId="344"/>
    <cellStyle name="Separador de milhares 3 3" xfId="345"/>
    <cellStyle name="Separador de milhares 3 4" xfId="346"/>
    <cellStyle name="Separador de milhares 3 5" xfId="347"/>
    <cellStyle name="Separador de milhares 3 6" xfId="348"/>
    <cellStyle name="Separador de milhares 3 7" xfId="349"/>
    <cellStyle name="Separador de milhares 3 8" xfId="350"/>
    <cellStyle name="Separador de milhares 3 9" xfId="351"/>
    <cellStyle name="Separador de milhares 4" xfId="352"/>
    <cellStyle name="Separador de milhares 4 10" xfId="353"/>
    <cellStyle name="Separador de milhares 4 11" xfId="354"/>
    <cellStyle name="Separador de milhares 4 12" xfId="355"/>
    <cellStyle name="Separador de milhares 4 13" xfId="356"/>
    <cellStyle name="Separador de milhares 4 14" xfId="357"/>
    <cellStyle name="Separador de milhares 4 15" xfId="358"/>
    <cellStyle name="Separador de milhares 4 16" xfId="359"/>
    <cellStyle name="Separador de milhares 4 17" xfId="360"/>
    <cellStyle name="Separador de milhares 4 18" xfId="361"/>
    <cellStyle name="Separador de milhares 4 19" xfId="362"/>
    <cellStyle name="Separador de milhares 4 2" xfId="363"/>
    <cellStyle name="Separador de milhares 4 20" xfId="364"/>
    <cellStyle name="Separador de milhares 4 3" xfId="365"/>
    <cellStyle name="Separador de milhares 4 4" xfId="366"/>
    <cellStyle name="Separador de milhares 4 5" xfId="367"/>
    <cellStyle name="Separador de milhares 4 6" xfId="368"/>
    <cellStyle name="Separador de milhares 4 7" xfId="369"/>
    <cellStyle name="Separador de milhares 4 8" xfId="370"/>
    <cellStyle name="Separador de milhares 4 9" xfId="371"/>
    <cellStyle name="Separador de milhares 5" xfId="372"/>
    <cellStyle name="Separador de milhares 5 10" xfId="373"/>
    <cellStyle name="Separador de milhares 5 11" xfId="374"/>
    <cellStyle name="Separador de milhares 5 12" xfId="375"/>
    <cellStyle name="Separador de milhares 5 13" xfId="376"/>
    <cellStyle name="Separador de milhares 5 14" xfId="377"/>
    <cellStyle name="Separador de milhares 5 15" xfId="378"/>
    <cellStyle name="Separador de milhares 5 16" xfId="379"/>
    <cellStyle name="Separador de milhares 5 17" xfId="380"/>
    <cellStyle name="Separador de milhares 5 18" xfId="381"/>
    <cellStyle name="Separador de milhares 5 19" xfId="382"/>
    <cellStyle name="Separador de milhares 5 2" xfId="383"/>
    <cellStyle name="Separador de milhares 5 20" xfId="384"/>
    <cellStyle name="Separador de milhares 5 3" xfId="385"/>
    <cellStyle name="Separador de milhares 5 4" xfId="386"/>
    <cellStyle name="Separador de milhares 5 5" xfId="387"/>
    <cellStyle name="Separador de milhares 5 6" xfId="388"/>
    <cellStyle name="Separador de milhares 5 7" xfId="389"/>
    <cellStyle name="Separador de milhares 5 8" xfId="390"/>
    <cellStyle name="Separador de milhares 5 9" xfId="391"/>
    <cellStyle name="Separador de milhares 6" xfId="392"/>
    <cellStyle name="Separador de milhares 6 10" xfId="393"/>
    <cellStyle name="Separador de milhares 6 11" xfId="394"/>
    <cellStyle name="Separador de milhares 6 12" xfId="395"/>
    <cellStyle name="Separador de milhares 6 13" xfId="396"/>
    <cellStyle name="Separador de milhares 6 14" xfId="397"/>
    <cellStyle name="Separador de milhares 6 15" xfId="398"/>
    <cellStyle name="Separador de milhares 6 16" xfId="399"/>
    <cellStyle name="Separador de milhares 6 17" xfId="400"/>
    <cellStyle name="Separador de milhares 6 18" xfId="401"/>
    <cellStyle name="Separador de milhares 6 19" xfId="402"/>
    <cellStyle name="Separador de milhares 6 2" xfId="403"/>
    <cellStyle name="Separador de milhares 6 20" xfId="404"/>
    <cellStyle name="Separador de milhares 6 3" xfId="405"/>
    <cellStyle name="Separador de milhares 6 4" xfId="406"/>
    <cellStyle name="Separador de milhares 6 5" xfId="407"/>
    <cellStyle name="Separador de milhares 6 6" xfId="408"/>
    <cellStyle name="Separador de milhares 6 7" xfId="409"/>
    <cellStyle name="Separador de milhares 6 8" xfId="410"/>
    <cellStyle name="Separador de milhares 6 9" xfId="411"/>
    <cellStyle name="Separador de milhares 7" xfId="412"/>
    <cellStyle name="Separador de milhares 7 10" xfId="413"/>
    <cellStyle name="Separador de milhares 7 11" xfId="414"/>
    <cellStyle name="Separador de milhares 7 12" xfId="415"/>
    <cellStyle name="Separador de milhares 7 13" xfId="416"/>
    <cellStyle name="Separador de milhares 7 14" xfId="417"/>
    <cellStyle name="Separador de milhares 7 15" xfId="418"/>
    <cellStyle name="Separador de milhares 7 16" xfId="419"/>
    <cellStyle name="Separador de milhares 7 17" xfId="420"/>
    <cellStyle name="Separador de milhares 7 18" xfId="421"/>
    <cellStyle name="Separador de milhares 7 19" xfId="422"/>
    <cellStyle name="Separador de milhares 7 2" xfId="423"/>
    <cellStyle name="Separador de milhares 7 20" xfId="424"/>
    <cellStyle name="Separador de milhares 7 3" xfId="425"/>
    <cellStyle name="Separador de milhares 7 4" xfId="426"/>
    <cellStyle name="Separador de milhares 7 5" xfId="427"/>
    <cellStyle name="Separador de milhares 7 6" xfId="428"/>
    <cellStyle name="Separador de milhares 7 7" xfId="429"/>
    <cellStyle name="Separador de milhares 7 8" xfId="430"/>
    <cellStyle name="Separador de milhares 7 9" xfId="431"/>
    <cellStyle name="Separador de milhares 8" xfId="432"/>
    <cellStyle name="Separador de milhares 9" xfId="433"/>
    <cellStyle name="Separador de milhares 9 2" xfId="434"/>
    <cellStyle name="Texto de Aviso" xfId="435"/>
    <cellStyle name="Texto Explicativo" xfId="436"/>
    <cellStyle name="Título" xfId="437"/>
    <cellStyle name="Título 1" xfId="438"/>
    <cellStyle name="Título 2" xfId="439"/>
    <cellStyle name="Título 3" xfId="440"/>
    <cellStyle name="Título 4" xfId="441"/>
    <cellStyle name="Total" xfId="442"/>
    <cellStyle name="Comma" xfId="443"/>
    <cellStyle name="Vírgula 2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2219325</xdr:colOff>
      <xdr:row>1</xdr:row>
      <xdr:rowOff>9525</xdr:rowOff>
    </xdr:from>
    <xdr:to>
      <xdr:col>4</xdr:col>
      <xdr:colOff>866775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38500" y="238125"/>
          <a:ext cx="443865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5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1</xdr:col>
      <xdr:colOff>9525</xdr:colOff>
      <xdr:row>1</xdr:row>
      <xdr:rowOff>85725</xdr:rowOff>
    </xdr:from>
    <xdr:to>
      <xdr:col>2</xdr:col>
      <xdr:colOff>2190750</xdr:colOff>
      <xdr:row>6</xdr:row>
      <xdr:rowOff>180975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14325"/>
          <a:ext cx="2886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2000250</xdr:colOff>
      <xdr:row>1</xdr:row>
      <xdr:rowOff>38100</xdr:rowOff>
    </xdr:from>
    <xdr:to>
      <xdr:col>4</xdr:col>
      <xdr:colOff>0</xdr:colOff>
      <xdr:row>5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09850" y="228600"/>
          <a:ext cx="2733675" cy="10953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171450</xdr:rowOff>
    </xdr:from>
    <xdr:to>
      <xdr:col>1</xdr:col>
      <xdr:colOff>1943100</xdr:colOff>
      <xdr:row>6</xdr:row>
      <xdr:rowOff>9525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2514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57150</xdr:rowOff>
    </xdr:from>
    <xdr:to>
      <xdr:col>2</xdr:col>
      <xdr:colOff>1028700</xdr:colOff>
      <xdr:row>3</xdr:row>
      <xdr:rowOff>371475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"/>
          <a:ext cx="1562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1038225</xdr:colOff>
      <xdr:row>1</xdr:row>
      <xdr:rowOff>19050</xdr:rowOff>
    </xdr:from>
    <xdr:to>
      <xdr:col>3</xdr:col>
      <xdr:colOff>0</xdr:colOff>
      <xdr:row>3</xdr:row>
      <xdr:rowOff>371475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62125" y="209550"/>
          <a:ext cx="2838450" cy="11144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2000250</xdr:colOff>
      <xdr:row>1</xdr:row>
      <xdr:rowOff>28575</xdr:rowOff>
    </xdr:from>
    <xdr:to>
      <xdr:col>3</xdr:col>
      <xdr:colOff>971550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09850" y="219075"/>
          <a:ext cx="2733675" cy="1343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0</xdr:col>
      <xdr:colOff>85725</xdr:colOff>
      <xdr:row>1</xdr:row>
      <xdr:rowOff>47625</xdr:rowOff>
    </xdr:from>
    <xdr:to>
      <xdr:col>1</xdr:col>
      <xdr:colOff>609600</xdr:colOff>
      <xdr:row>6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38125"/>
          <a:ext cx="1133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26</xdr:row>
      <xdr:rowOff>142875</xdr:rowOff>
    </xdr:from>
    <xdr:to>
      <xdr:col>6</xdr:col>
      <xdr:colOff>190500</xdr:colOff>
      <xdr:row>37</xdr:row>
      <xdr:rowOff>133350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31" t="-5361" r="-3527" b="-29992"/>
        <a:stretch>
          <a:fillRect/>
        </a:stretch>
      </xdr:blipFill>
      <xdr:spPr>
        <a:xfrm>
          <a:off x="1476375" y="5095875"/>
          <a:ext cx="5838825" cy="25146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66675</xdr:colOff>
      <xdr:row>60</xdr:row>
      <xdr:rowOff>104775</xdr:rowOff>
    </xdr:from>
    <xdr:to>
      <xdr:col>17</xdr:col>
      <xdr:colOff>304800</xdr:colOff>
      <xdr:row>91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2982575"/>
          <a:ext cx="774382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24</xdr:row>
      <xdr:rowOff>114300</xdr:rowOff>
    </xdr:from>
    <xdr:to>
      <xdr:col>21</xdr:col>
      <xdr:colOff>190500</xdr:colOff>
      <xdr:row>42</xdr:row>
      <xdr:rowOff>57150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9725" y="4667250"/>
          <a:ext cx="74199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133350</xdr:rowOff>
    </xdr:from>
    <xdr:to>
      <xdr:col>21</xdr:col>
      <xdr:colOff>190500</xdr:colOff>
      <xdr:row>23</xdr:row>
      <xdr:rowOff>38100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10675" y="1085850"/>
          <a:ext cx="7439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44</xdr:row>
      <xdr:rowOff>114300</xdr:rowOff>
    </xdr:from>
    <xdr:to>
      <xdr:col>21</xdr:col>
      <xdr:colOff>161925</xdr:colOff>
      <xdr:row>57</xdr:row>
      <xdr:rowOff>104775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20200" y="9267825"/>
          <a:ext cx="74009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2009775</xdr:colOff>
      <xdr:row>2</xdr:row>
      <xdr:rowOff>9525</xdr:rowOff>
    </xdr:from>
    <xdr:to>
      <xdr:col>2</xdr:col>
      <xdr:colOff>1419225</xdr:colOff>
      <xdr:row>8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619375" y="390525"/>
          <a:ext cx="2009775" cy="1133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1952625</xdr:colOff>
      <xdr:row>8</xdr:row>
      <xdr:rowOff>19050</xdr:rowOff>
    </xdr:to>
    <xdr:pic>
      <xdr:nvPicPr>
        <xdr:cNvPr id="7" name="Imagem 3" descr="C:\Users\SESAPI\Desktop\brasao-governo-do-piaui201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390525"/>
          <a:ext cx="1952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4</xdr:col>
      <xdr:colOff>3562350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91125" y="200025"/>
          <a:ext cx="407670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57150</xdr:rowOff>
    </xdr:from>
    <xdr:to>
      <xdr:col>2</xdr:col>
      <xdr:colOff>666750</xdr:colOff>
      <xdr:row>3</xdr:row>
      <xdr:rowOff>371475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1038225</xdr:colOff>
      <xdr:row>1</xdr:row>
      <xdr:rowOff>28575</xdr:rowOff>
    </xdr:from>
    <xdr:to>
      <xdr:col>3</xdr:col>
      <xdr:colOff>0</xdr:colOff>
      <xdr:row>3</xdr:row>
      <xdr:rowOff>371475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62125" y="219075"/>
          <a:ext cx="2838450" cy="11049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TOS%20PARTICULARES\SATURNINO-BELEM%20SOCORRO\Nova%20pasta\FISIOTERAPIA%20-%20PARNA&#205;BA%20-%20SESAP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1\Documents\NIS%20-%20SESAPI\PICOS\CPN%20PICOS%20-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Fisioterapia"/>
      <sheetName val="MEMORIA DE CALCULO"/>
      <sheetName val="Cronograma Fisioterapia"/>
    </sheetNames>
    <sheetDataSet>
      <sheetData sheetId="0">
        <row r="10">
          <cell r="B10" t="str">
            <v>Endereço: Zona urbana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Memorial de Cálculo"/>
      <sheetName val="Composições de Custo"/>
      <sheetName val="BDI"/>
      <sheetName val="LEIS SOCIAIS"/>
    </sheetNames>
    <sheetDataSet>
      <sheetData sheetId="0">
        <row r="60">
          <cell r="B60" t="str">
            <v>5.00</v>
          </cell>
        </row>
        <row r="61">
          <cell r="B61" t="str">
            <v>5.1</v>
          </cell>
        </row>
        <row r="94">
          <cell r="B94" t="str">
            <v>7.00</v>
          </cell>
        </row>
        <row r="96">
          <cell r="B96" t="str">
            <v>7.2</v>
          </cell>
        </row>
        <row r="104">
          <cell r="B104" t="str">
            <v>8.00</v>
          </cell>
        </row>
        <row r="111">
          <cell r="B111" t="str">
            <v>8.6</v>
          </cell>
        </row>
        <row r="170">
          <cell r="B170" t="str">
            <v>10.00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tes.seinfra.ce.gov.br/siproce/desonerada/html/C0383.html?a=1545420076829" TargetMode="External" /><Relationship Id="rId2" Type="http://schemas.openxmlformats.org/officeDocument/2006/relationships/hyperlink" Target="http://187.17.2.135/orse/composicao.asp?font_sg_fonte=ORSE&amp;serv_nr_codigo=2450&amp;peri_nr_ano=2019&amp;peri_nr_mes=1&amp;peri_nr_ordem=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8"/>
  <sheetViews>
    <sheetView tabSelected="1" zoomScale="70" zoomScaleNormal="70" zoomScaleSheetLayoutView="70" zoomScalePageLayoutView="0" workbookViewId="0" topLeftCell="A52">
      <selection activeCell="C21" sqref="C21"/>
    </sheetView>
  </sheetViews>
  <sheetFormatPr defaultColWidth="9.140625" defaultRowHeight="18" customHeight="1"/>
  <cols>
    <col min="1" max="1" width="4.7109375" style="1" customWidth="1"/>
    <col min="2" max="2" width="10.57421875" style="3" customWidth="1"/>
    <col min="3" max="3" width="71.28125" style="1" customWidth="1"/>
    <col min="4" max="4" width="15.57421875" style="1" customWidth="1"/>
    <col min="5" max="5" width="13.140625" style="1" customWidth="1"/>
    <col min="6" max="6" width="12.28125" style="2" customWidth="1"/>
    <col min="7" max="7" width="15.140625" style="281" customWidth="1"/>
    <col min="8" max="8" width="14.00390625" style="53" customWidth="1"/>
    <col min="9" max="10" width="17.7109375" style="38" customWidth="1"/>
    <col min="11" max="11" width="16.8515625" style="34" customWidth="1"/>
    <col min="12" max="12" width="22.00390625" style="29" customWidth="1"/>
    <col min="13" max="16384" width="9.140625" style="1" customWidth="1"/>
  </cols>
  <sheetData>
    <row r="2" spans="2:12" ht="18" customHeight="1">
      <c r="B2" s="59"/>
      <c r="C2" s="60"/>
      <c r="D2" s="60"/>
      <c r="E2" s="60"/>
      <c r="F2" s="482" t="s">
        <v>74</v>
      </c>
      <c r="G2" s="482"/>
      <c r="H2" s="482"/>
      <c r="I2" s="482"/>
      <c r="J2" s="482"/>
      <c r="K2" s="482"/>
      <c r="L2" s="482"/>
    </row>
    <row r="3" spans="2:12" ht="18" customHeight="1">
      <c r="B3" s="61"/>
      <c r="C3" s="62"/>
      <c r="D3" s="62"/>
      <c r="E3" s="62"/>
      <c r="F3" s="482"/>
      <c r="G3" s="482"/>
      <c r="H3" s="482"/>
      <c r="I3" s="482"/>
      <c r="J3" s="482"/>
      <c r="K3" s="482"/>
      <c r="L3" s="482"/>
    </row>
    <row r="4" spans="2:12" ht="18" customHeight="1">
      <c r="B4" s="61"/>
      <c r="C4" s="62"/>
      <c r="D4" s="62"/>
      <c r="E4" s="62"/>
      <c r="F4" s="483" t="s">
        <v>75</v>
      </c>
      <c r="G4" s="483"/>
      <c r="H4" s="483"/>
      <c r="I4" s="483"/>
      <c r="J4" s="483"/>
      <c r="K4" s="483"/>
      <c r="L4" s="483"/>
    </row>
    <row r="5" spans="2:12" ht="18" customHeight="1">
      <c r="B5" s="61"/>
      <c r="C5" s="62"/>
      <c r="D5" s="62"/>
      <c r="E5" s="62"/>
      <c r="F5" s="483"/>
      <c r="G5" s="483"/>
      <c r="H5" s="483"/>
      <c r="I5" s="483"/>
      <c r="J5" s="483"/>
      <c r="K5" s="483"/>
      <c r="L5" s="483"/>
    </row>
    <row r="6" spans="2:12" ht="18" customHeight="1">
      <c r="B6" s="61"/>
      <c r="C6" s="62"/>
      <c r="D6" s="62"/>
      <c r="E6" s="62"/>
      <c r="F6" s="484" t="s">
        <v>57</v>
      </c>
      <c r="G6" s="484"/>
      <c r="H6" s="484"/>
      <c r="I6" s="484"/>
      <c r="J6" s="484"/>
      <c r="K6" s="484"/>
      <c r="L6" s="484"/>
    </row>
    <row r="7" spans="2:12" ht="18" customHeight="1">
      <c r="B7" s="63"/>
      <c r="C7" s="64"/>
      <c r="D7" s="64"/>
      <c r="E7" s="64"/>
      <c r="F7" s="484"/>
      <c r="G7" s="484"/>
      <c r="H7" s="484"/>
      <c r="I7" s="484"/>
      <c r="J7" s="484"/>
      <c r="K7" s="484"/>
      <c r="L7" s="484"/>
    </row>
    <row r="8" spans="2:12" ht="4.5" customHeight="1">
      <c r="B8" s="17"/>
      <c r="C8" s="18"/>
      <c r="D8" s="18"/>
      <c r="E8" s="18"/>
      <c r="F8" s="17"/>
      <c r="G8" s="36"/>
      <c r="H8" s="51"/>
      <c r="I8" s="36"/>
      <c r="J8" s="36"/>
      <c r="K8" s="33"/>
      <c r="L8" s="26"/>
    </row>
    <row r="9" spans="2:12" ht="24" customHeight="1">
      <c r="B9" s="485" t="s">
        <v>394</v>
      </c>
      <c r="C9" s="486"/>
      <c r="D9" s="486"/>
      <c r="E9" s="486"/>
      <c r="F9" s="485" t="s">
        <v>393</v>
      </c>
      <c r="G9" s="486"/>
      <c r="H9" s="486"/>
      <c r="I9" s="486"/>
      <c r="J9" s="486"/>
      <c r="K9" s="486"/>
      <c r="L9" s="487"/>
    </row>
    <row r="10" spans="2:12" ht="38.25" customHeight="1">
      <c r="B10" s="485" t="s">
        <v>395</v>
      </c>
      <c r="C10" s="486"/>
      <c r="D10" s="486"/>
      <c r="E10" s="486"/>
      <c r="F10" s="488" t="s">
        <v>554</v>
      </c>
      <c r="G10" s="489"/>
      <c r="H10" s="489"/>
      <c r="I10" s="489"/>
      <c r="J10" s="489"/>
      <c r="K10" s="489"/>
      <c r="L10" s="490"/>
    </row>
    <row r="11" spans="2:16" s="7" customFormat="1" ht="4.5" customHeight="1">
      <c r="B11" s="491"/>
      <c r="C11" s="492"/>
      <c r="D11" s="123"/>
      <c r="E11" s="123"/>
      <c r="F11" s="19"/>
      <c r="G11" s="37"/>
      <c r="H11" s="52"/>
      <c r="I11" s="37"/>
      <c r="J11" s="37"/>
      <c r="K11" s="27"/>
      <c r="L11" s="28"/>
      <c r="P11" s="1"/>
    </row>
    <row r="12" spans="2:12" ht="24.75" customHeight="1">
      <c r="B12" s="493" t="s">
        <v>359</v>
      </c>
      <c r="C12" s="494"/>
      <c r="D12" s="494"/>
      <c r="E12" s="494"/>
      <c r="F12" s="494"/>
      <c r="G12" s="494"/>
      <c r="H12" s="494"/>
      <c r="I12" s="494"/>
      <c r="J12" s="494"/>
      <c r="K12" s="494"/>
      <c r="L12" s="495"/>
    </row>
    <row r="13" ht="4.5" customHeight="1"/>
    <row r="14" spans="2:12" ht="30" customHeight="1">
      <c r="B14" s="496" t="s">
        <v>1</v>
      </c>
      <c r="C14" s="497" t="s">
        <v>2</v>
      </c>
      <c r="D14" s="499" t="s">
        <v>67</v>
      </c>
      <c r="E14" s="499" t="s">
        <v>68</v>
      </c>
      <c r="F14" s="499" t="s">
        <v>3</v>
      </c>
      <c r="G14" s="501" t="s">
        <v>4</v>
      </c>
      <c r="H14" s="503" t="s">
        <v>27</v>
      </c>
      <c r="I14" s="58" t="s">
        <v>70</v>
      </c>
      <c r="J14" s="501" t="s">
        <v>71</v>
      </c>
      <c r="K14" s="501" t="s">
        <v>72</v>
      </c>
      <c r="L14" s="507" t="s">
        <v>59</v>
      </c>
    </row>
    <row r="15" spans="2:12" ht="24" customHeight="1">
      <c r="B15" s="496"/>
      <c r="C15" s="498"/>
      <c r="D15" s="500"/>
      <c r="E15" s="500"/>
      <c r="F15" s="500"/>
      <c r="G15" s="502"/>
      <c r="H15" s="504"/>
      <c r="I15" s="124">
        <v>0.2458</v>
      </c>
      <c r="J15" s="502"/>
      <c r="K15" s="502"/>
      <c r="L15" s="508"/>
    </row>
    <row r="16" ht="4.5" customHeight="1">
      <c r="C16" s="128"/>
    </row>
    <row r="17" spans="2:12" s="39" customFormat="1" ht="18" customHeight="1">
      <c r="B17" s="764" t="s">
        <v>5</v>
      </c>
      <c r="C17" s="453" t="s">
        <v>111</v>
      </c>
      <c r="D17" s="454"/>
      <c r="E17" s="455"/>
      <c r="F17" s="456"/>
      <c r="G17" s="457"/>
      <c r="H17" s="458"/>
      <c r="I17" s="459"/>
      <c r="J17" s="460"/>
      <c r="K17" s="461">
        <f>SUM(J18:J24)</f>
        <v>9360.420000000002</v>
      </c>
      <c r="L17" s="462">
        <f>K17/$K$69</f>
        <v>0.04017976720131978</v>
      </c>
    </row>
    <row r="18" spans="2:12" s="125" customFormat="1" ht="18" customHeight="1">
      <c r="B18" s="658" t="s">
        <v>6</v>
      </c>
      <c r="C18" s="765" t="s">
        <v>538</v>
      </c>
      <c r="D18" s="720" t="s">
        <v>69</v>
      </c>
      <c r="E18" s="721">
        <v>97633</v>
      </c>
      <c r="F18" s="753" t="s">
        <v>0</v>
      </c>
      <c r="G18" s="660">
        <v>496.05</v>
      </c>
      <c r="H18" s="661">
        <v>14.48</v>
      </c>
      <c r="I18" s="662">
        <f aca="true" t="shared" si="0" ref="I18:I24">ROUND(H18*($I$15+1),2)</f>
        <v>18.04</v>
      </c>
      <c r="J18" s="662">
        <f aca="true" t="shared" si="1" ref="J18:J24">ROUND(G18*I18,2)</f>
        <v>8948.74</v>
      </c>
      <c r="K18" s="663"/>
      <c r="L18" s="664"/>
    </row>
    <row r="19" spans="2:12" s="39" customFormat="1" ht="18" customHeight="1">
      <c r="B19" s="658" t="s">
        <v>101</v>
      </c>
      <c r="C19" s="766" t="s">
        <v>531</v>
      </c>
      <c r="D19" s="720" t="s">
        <v>69</v>
      </c>
      <c r="E19" s="722">
        <v>97633</v>
      </c>
      <c r="F19" s="754" t="s">
        <v>0</v>
      </c>
      <c r="G19" s="665">
        <v>3.9</v>
      </c>
      <c r="H19" s="666">
        <v>14.48</v>
      </c>
      <c r="I19" s="662">
        <f t="shared" si="0"/>
        <v>18.04</v>
      </c>
      <c r="J19" s="662">
        <f t="shared" si="1"/>
        <v>70.36</v>
      </c>
      <c r="K19" s="667"/>
      <c r="L19" s="668"/>
    </row>
    <row r="20" spans="2:12" s="39" customFormat="1" ht="18" customHeight="1">
      <c r="B20" s="658" t="s">
        <v>102</v>
      </c>
      <c r="C20" s="765" t="s">
        <v>369</v>
      </c>
      <c r="D20" s="723" t="s">
        <v>73</v>
      </c>
      <c r="E20" s="724" t="s">
        <v>370</v>
      </c>
      <c r="F20" s="736" t="s">
        <v>0</v>
      </c>
      <c r="G20" s="670">
        <v>4</v>
      </c>
      <c r="H20" s="671">
        <v>15.06</v>
      </c>
      <c r="I20" s="662">
        <f t="shared" si="0"/>
        <v>18.76</v>
      </c>
      <c r="J20" s="662">
        <f t="shared" si="1"/>
        <v>75.04</v>
      </c>
      <c r="K20" s="667"/>
      <c r="L20" s="668"/>
    </row>
    <row r="21" spans="2:12" s="39" customFormat="1" ht="18" customHeight="1">
      <c r="B21" s="658" t="s">
        <v>103</v>
      </c>
      <c r="C21" s="767" t="s">
        <v>357</v>
      </c>
      <c r="D21" s="723" t="s">
        <v>73</v>
      </c>
      <c r="E21" s="724" t="s">
        <v>358</v>
      </c>
      <c r="F21" s="736" t="s">
        <v>0</v>
      </c>
      <c r="G21" s="672">
        <v>8</v>
      </c>
      <c r="H21" s="673">
        <v>11.99</v>
      </c>
      <c r="I21" s="662">
        <f t="shared" si="0"/>
        <v>14.94</v>
      </c>
      <c r="J21" s="662">
        <f t="shared" si="1"/>
        <v>119.52</v>
      </c>
      <c r="K21" s="667"/>
      <c r="L21" s="668"/>
    </row>
    <row r="22" spans="2:12" ht="15">
      <c r="B22" s="658" t="s">
        <v>104</v>
      </c>
      <c r="C22" s="767" t="s">
        <v>544</v>
      </c>
      <c r="D22" s="720" t="s">
        <v>69</v>
      </c>
      <c r="E22" s="725">
        <v>97666</v>
      </c>
      <c r="F22" s="755" t="s">
        <v>373</v>
      </c>
      <c r="G22" s="674">
        <v>1</v>
      </c>
      <c r="H22" s="675">
        <v>5.45</v>
      </c>
      <c r="I22" s="662">
        <f t="shared" si="0"/>
        <v>6.79</v>
      </c>
      <c r="J22" s="662">
        <f t="shared" si="1"/>
        <v>6.79</v>
      </c>
      <c r="K22" s="676"/>
      <c r="L22" s="677"/>
    </row>
    <row r="23" spans="2:12" ht="15">
      <c r="B23" s="658" t="s">
        <v>105</v>
      </c>
      <c r="C23" s="768" t="s">
        <v>532</v>
      </c>
      <c r="D23" s="720" t="s">
        <v>77</v>
      </c>
      <c r="E23" s="725">
        <v>9602</v>
      </c>
      <c r="F23" s="755" t="s">
        <v>373</v>
      </c>
      <c r="G23" s="674">
        <v>2</v>
      </c>
      <c r="H23" s="675">
        <v>15.14</v>
      </c>
      <c r="I23" s="662">
        <f t="shared" si="0"/>
        <v>18.86</v>
      </c>
      <c r="J23" s="662">
        <f t="shared" si="1"/>
        <v>37.72</v>
      </c>
      <c r="K23" s="676"/>
      <c r="L23" s="677"/>
    </row>
    <row r="24" spans="2:12" ht="15">
      <c r="B24" s="657" t="s">
        <v>435</v>
      </c>
      <c r="C24" s="769" t="s">
        <v>549</v>
      </c>
      <c r="D24" s="726" t="s">
        <v>77</v>
      </c>
      <c r="E24" s="727">
        <v>3248</v>
      </c>
      <c r="F24" s="756" t="s">
        <v>373</v>
      </c>
      <c r="G24" s="678">
        <v>25</v>
      </c>
      <c r="H24" s="678">
        <v>3.28</v>
      </c>
      <c r="I24" s="662">
        <f t="shared" si="0"/>
        <v>4.09</v>
      </c>
      <c r="J24" s="662">
        <f t="shared" si="1"/>
        <v>102.25</v>
      </c>
      <c r="K24" s="676"/>
      <c r="L24" s="677"/>
    </row>
    <row r="25" spans="1:12" s="39" customFormat="1" ht="15">
      <c r="A25" s="126"/>
      <c r="B25" s="770" t="s">
        <v>7</v>
      </c>
      <c r="C25" s="453" t="s">
        <v>195</v>
      </c>
      <c r="D25" s="728"/>
      <c r="E25" s="729"/>
      <c r="F25" s="729"/>
      <c r="G25" s="679"/>
      <c r="H25" s="680"/>
      <c r="I25" s="681"/>
      <c r="J25" s="681"/>
      <c r="K25" s="682">
        <f>SUM(J26:J32)</f>
        <v>4343.34</v>
      </c>
      <c r="L25" s="683">
        <f>K25/$K$69</f>
        <v>0.01864386321085808</v>
      </c>
    </row>
    <row r="26" spans="2:12" s="39" customFormat="1" ht="15">
      <c r="B26" s="658" t="s">
        <v>8</v>
      </c>
      <c r="C26" s="767" t="s">
        <v>418</v>
      </c>
      <c r="D26" s="723" t="s">
        <v>69</v>
      </c>
      <c r="E26" s="724">
        <v>86904</v>
      </c>
      <c r="F26" s="736" t="s">
        <v>373</v>
      </c>
      <c r="G26" s="672">
        <v>2</v>
      </c>
      <c r="H26" s="684">
        <v>101.15</v>
      </c>
      <c r="I26" s="685">
        <f>ROUND(H26*($I$15+1),2)</f>
        <v>126.01</v>
      </c>
      <c r="J26" s="685">
        <f>ROUND(G26*I26,2)</f>
        <v>252.02</v>
      </c>
      <c r="K26" s="667"/>
      <c r="L26" s="668"/>
    </row>
    <row r="27" spans="2:12" s="39" customFormat="1" ht="29.25">
      <c r="B27" s="658" t="s">
        <v>37</v>
      </c>
      <c r="C27" s="771" t="s">
        <v>524</v>
      </c>
      <c r="D27" s="723" t="s">
        <v>73</v>
      </c>
      <c r="E27" s="723" t="s">
        <v>525</v>
      </c>
      <c r="F27" s="735" t="s">
        <v>373</v>
      </c>
      <c r="G27" s="686">
        <v>1</v>
      </c>
      <c r="H27" s="687">
        <v>814.18</v>
      </c>
      <c r="I27" s="685">
        <f aca="true" t="shared" si="2" ref="I27:I32">ROUND(H27*($I$15+1),2)</f>
        <v>1014.31</v>
      </c>
      <c r="J27" s="685">
        <f aca="true" t="shared" si="3" ref="J27:J32">ROUND(G27*I27,2)</f>
        <v>1014.31</v>
      </c>
      <c r="K27" s="667"/>
      <c r="L27" s="668"/>
    </row>
    <row r="28" spans="2:12" ht="15" customHeight="1">
      <c r="B28" s="658" t="s">
        <v>38</v>
      </c>
      <c r="C28" s="659" t="s">
        <v>420</v>
      </c>
      <c r="D28" s="723" t="s">
        <v>69</v>
      </c>
      <c r="E28" s="723">
        <v>86914</v>
      </c>
      <c r="F28" s="735" t="s">
        <v>373</v>
      </c>
      <c r="G28" s="686">
        <v>5</v>
      </c>
      <c r="H28" s="687">
        <v>38.39</v>
      </c>
      <c r="I28" s="685">
        <f t="shared" si="2"/>
        <v>47.83</v>
      </c>
      <c r="J28" s="685">
        <f t="shared" si="3"/>
        <v>239.15</v>
      </c>
      <c r="K28" s="676"/>
      <c r="L28" s="668"/>
    </row>
    <row r="29" spans="2:12" ht="40.5" customHeight="1">
      <c r="B29" s="658" t="s">
        <v>112</v>
      </c>
      <c r="C29" s="659" t="s">
        <v>385</v>
      </c>
      <c r="D29" s="723" t="s">
        <v>77</v>
      </c>
      <c r="E29" s="723">
        <v>9017</v>
      </c>
      <c r="F29" s="735" t="s">
        <v>373</v>
      </c>
      <c r="G29" s="686">
        <v>2</v>
      </c>
      <c r="H29" s="688">
        <v>357.46</v>
      </c>
      <c r="I29" s="685">
        <f t="shared" si="2"/>
        <v>445.32</v>
      </c>
      <c r="J29" s="685">
        <f t="shared" si="3"/>
        <v>890.64</v>
      </c>
      <c r="K29" s="676"/>
      <c r="L29" s="668"/>
    </row>
    <row r="30" spans="2:12" ht="15" customHeight="1">
      <c r="B30" s="658" t="s">
        <v>113</v>
      </c>
      <c r="C30" s="659" t="s">
        <v>386</v>
      </c>
      <c r="D30" s="723" t="s">
        <v>77</v>
      </c>
      <c r="E30" s="723">
        <v>2055</v>
      </c>
      <c r="F30" s="735" t="s">
        <v>373</v>
      </c>
      <c r="G30" s="686">
        <v>1</v>
      </c>
      <c r="H30" s="688">
        <v>474.53</v>
      </c>
      <c r="I30" s="685">
        <f t="shared" si="2"/>
        <v>591.17</v>
      </c>
      <c r="J30" s="685">
        <f t="shared" si="3"/>
        <v>591.17</v>
      </c>
      <c r="K30" s="676"/>
      <c r="L30" s="668"/>
    </row>
    <row r="31" spans="2:12" ht="15" customHeight="1">
      <c r="B31" s="659" t="s">
        <v>114</v>
      </c>
      <c r="C31" s="659" t="s">
        <v>545</v>
      </c>
      <c r="D31" s="730" t="s">
        <v>542</v>
      </c>
      <c r="E31" s="730" t="s">
        <v>543</v>
      </c>
      <c r="F31" s="730" t="s">
        <v>373</v>
      </c>
      <c r="G31" s="448">
        <v>1</v>
      </c>
      <c r="H31" s="479">
        <v>1042.26</v>
      </c>
      <c r="I31" s="685">
        <f t="shared" si="2"/>
        <v>1298.45</v>
      </c>
      <c r="J31" s="685">
        <f t="shared" si="3"/>
        <v>1298.45</v>
      </c>
      <c r="K31" s="448"/>
      <c r="L31" s="448"/>
    </row>
    <row r="32" spans="2:12" ht="15" customHeight="1">
      <c r="B32" s="659" t="s">
        <v>115</v>
      </c>
      <c r="C32" s="659" t="s">
        <v>519</v>
      </c>
      <c r="D32" s="730" t="s">
        <v>69</v>
      </c>
      <c r="E32" s="730">
        <v>86882</v>
      </c>
      <c r="F32" s="730" t="s">
        <v>373</v>
      </c>
      <c r="G32" s="448">
        <v>3</v>
      </c>
      <c r="H32" s="448">
        <v>15.41</v>
      </c>
      <c r="I32" s="685">
        <f t="shared" si="2"/>
        <v>19.2</v>
      </c>
      <c r="J32" s="685">
        <f t="shared" si="3"/>
        <v>57.6</v>
      </c>
      <c r="K32" s="448"/>
      <c r="L32" s="448"/>
    </row>
    <row r="33" spans="1:12" s="39" customFormat="1" ht="15">
      <c r="A33" s="126"/>
      <c r="B33" s="770" t="s">
        <v>9</v>
      </c>
      <c r="C33" s="453" t="s">
        <v>392</v>
      </c>
      <c r="D33" s="728"/>
      <c r="E33" s="729"/>
      <c r="F33" s="729"/>
      <c r="G33" s="679"/>
      <c r="H33" s="680"/>
      <c r="I33" s="681"/>
      <c r="J33" s="681"/>
      <c r="K33" s="682">
        <f>SUM(J34:J36)</f>
        <v>5935.98</v>
      </c>
      <c r="L33" s="683">
        <f>K33/$K$69</f>
        <v>0.025480298374612475</v>
      </c>
    </row>
    <row r="34" spans="2:12" s="39" customFormat="1" ht="26.25">
      <c r="B34" s="658" t="s">
        <v>10</v>
      </c>
      <c r="C34" s="772" t="s">
        <v>535</v>
      </c>
      <c r="D34" s="723" t="s">
        <v>69</v>
      </c>
      <c r="E34" s="724">
        <v>97586</v>
      </c>
      <c r="F34" s="736" t="s">
        <v>373</v>
      </c>
      <c r="G34" s="672">
        <v>25</v>
      </c>
      <c r="H34" s="684">
        <v>87.13</v>
      </c>
      <c r="I34" s="676">
        <f>ROUND(H34*($I$15+1),2)</f>
        <v>108.55</v>
      </c>
      <c r="J34" s="676">
        <f>ROUND(G34*I34,2)</f>
        <v>2713.75</v>
      </c>
      <c r="K34" s="667"/>
      <c r="L34" s="668"/>
    </row>
    <row r="35" spans="2:12" s="39" customFormat="1" ht="26.25">
      <c r="B35" s="658" t="s">
        <v>116</v>
      </c>
      <c r="C35" s="772" t="s">
        <v>421</v>
      </c>
      <c r="D35" s="723" t="s">
        <v>69</v>
      </c>
      <c r="E35" s="724">
        <v>93128</v>
      </c>
      <c r="F35" s="736" t="s">
        <v>373</v>
      </c>
      <c r="G35" s="672">
        <v>25</v>
      </c>
      <c r="H35" s="684">
        <v>92.3</v>
      </c>
      <c r="I35" s="676">
        <f>ROUND(H35*($I$15+1),2)</f>
        <v>114.99</v>
      </c>
      <c r="J35" s="676">
        <f>ROUND(G35*I35,2)</f>
        <v>2874.75</v>
      </c>
      <c r="K35" s="667"/>
      <c r="L35" s="668"/>
    </row>
    <row r="36" spans="2:12" s="39" customFormat="1" ht="15">
      <c r="B36" s="658" t="s">
        <v>117</v>
      </c>
      <c r="C36" s="772" t="s">
        <v>539</v>
      </c>
      <c r="D36" s="723" t="s">
        <v>540</v>
      </c>
      <c r="E36" s="724" t="s">
        <v>541</v>
      </c>
      <c r="F36" s="736" t="s">
        <v>373</v>
      </c>
      <c r="G36" s="672">
        <v>17</v>
      </c>
      <c r="H36" s="684">
        <v>16.41</v>
      </c>
      <c r="I36" s="676">
        <f>ROUND(H36*($I$15+1),2)</f>
        <v>20.44</v>
      </c>
      <c r="J36" s="676">
        <f>ROUND(G36*I36,2)</f>
        <v>347.48</v>
      </c>
      <c r="K36" s="667"/>
      <c r="L36" s="668"/>
    </row>
    <row r="37" spans="2:12" ht="18" customHeight="1">
      <c r="B37" s="764" t="s">
        <v>11</v>
      </c>
      <c r="C37" s="773" t="s">
        <v>377</v>
      </c>
      <c r="D37" s="731"/>
      <c r="E37" s="731"/>
      <c r="F37" s="757"/>
      <c r="G37" s="689"/>
      <c r="H37" s="690"/>
      <c r="I37" s="691"/>
      <c r="J37" s="692"/>
      <c r="K37" s="693">
        <f>SUM(J38:J40)</f>
        <v>12022.310000000001</v>
      </c>
      <c r="L37" s="683">
        <f>K37/$K$69</f>
        <v>0.05160597676408737</v>
      </c>
    </row>
    <row r="38" spans="2:12" s="125" customFormat="1" ht="15">
      <c r="B38" s="654" t="s">
        <v>78</v>
      </c>
      <c r="C38" s="766" t="s">
        <v>378</v>
      </c>
      <c r="D38" s="732" t="s">
        <v>73</v>
      </c>
      <c r="E38" s="733" t="s">
        <v>380</v>
      </c>
      <c r="F38" s="753" t="s">
        <v>0</v>
      </c>
      <c r="G38" s="670">
        <v>154.05</v>
      </c>
      <c r="H38" s="694">
        <v>5.19</v>
      </c>
      <c r="I38" s="662">
        <f aca="true" t="shared" si="4" ref="I38:I50">ROUND(H38*($I$15+1),2)</f>
        <v>6.47</v>
      </c>
      <c r="J38" s="662">
        <f>ROUND(G38*I38,2)</f>
        <v>996.7</v>
      </c>
      <c r="K38" s="695"/>
      <c r="L38" s="696"/>
    </row>
    <row r="39" spans="2:12" s="46" customFormat="1" ht="26.25">
      <c r="B39" s="654" t="s">
        <v>118</v>
      </c>
      <c r="C39" s="766" t="s">
        <v>379</v>
      </c>
      <c r="D39" s="732" t="s">
        <v>73</v>
      </c>
      <c r="E39" s="734" t="s">
        <v>381</v>
      </c>
      <c r="F39" s="736" t="s">
        <v>0</v>
      </c>
      <c r="G39" s="672">
        <v>154.05</v>
      </c>
      <c r="H39" s="694">
        <v>31.12</v>
      </c>
      <c r="I39" s="662">
        <f t="shared" si="4"/>
        <v>38.77</v>
      </c>
      <c r="J39" s="662">
        <f>ROUND(G39*I39,2)</f>
        <v>5972.52</v>
      </c>
      <c r="K39" s="667"/>
      <c r="L39" s="668"/>
    </row>
    <row r="40" spans="2:12" s="46" customFormat="1" ht="39">
      <c r="B40" s="654" t="s">
        <v>430</v>
      </c>
      <c r="C40" s="449" t="s">
        <v>414</v>
      </c>
      <c r="D40" s="735" t="s">
        <v>69</v>
      </c>
      <c r="E40" s="736">
        <v>87264</v>
      </c>
      <c r="F40" s="736" t="s">
        <v>0</v>
      </c>
      <c r="G40" s="672">
        <v>73.8</v>
      </c>
      <c r="H40" s="687">
        <v>54.96</v>
      </c>
      <c r="I40" s="662">
        <f t="shared" si="4"/>
        <v>68.47</v>
      </c>
      <c r="J40" s="662">
        <f>ROUND(G40*I40,2)</f>
        <v>5053.09</v>
      </c>
      <c r="K40" s="667"/>
      <c r="L40" s="668"/>
    </row>
    <row r="41" spans="2:12" ht="18" customHeight="1">
      <c r="B41" s="764" t="s">
        <v>12</v>
      </c>
      <c r="C41" s="773" t="s">
        <v>391</v>
      </c>
      <c r="D41" s="731"/>
      <c r="E41" s="731"/>
      <c r="F41" s="757"/>
      <c r="G41" s="689"/>
      <c r="H41" s="690"/>
      <c r="I41" s="691"/>
      <c r="J41" s="692"/>
      <c r="K41" s="693">
        <f>SUM(J42:J43)</f>
        <v>39340.79</v>
      </c>
      <c r="L41" s="683">
        <f>K41/$K$69</f>
        <v>0.1688710318250686</v>
      </c>
    </row>
    <row r="42" spans="2:12" ht="30" customHeight="1">
      <c r="B42" s="658" t="s">
        <v>13</v>
      </c>
      <c r="C42" s="768" t="s">
        <v>526</v>
      </c>
      <c r="D42" s="732" t="s">
        <v>69</v>
      </c>
      <c r="E42" s="737">
        <v>88650</v>
      </c>
      <c r="F42" s="735" t="s">
        <v>513</v>
      </c>
      <c r="G42" s="686">
        <v>36.17</v>
      </c>
      <c r="H42" s="697">
        <v>14.84</v>
      </c>
      <c r="I42" s="685">
        <f t="shared" si="4"/>
        <v>18.49</v>
      </c>
      <c r="J42" s="685">
        <f>ROUND(G42*I42,2)</f>
        <v>668.78</v>
      </c>
      <c r="K42" s="676"/>
      <c r="L42" s="677"/>
    </row>
    <row r="43" spans="2:12" ht="40.5" customHeight="1">
      <c r="B43" s="658" t="s">
        <v>14</v>
      </c>
      <c r="C43" s="450" t="s">
        <v>527</v>
      </c>
      <c r="D43" s="738" t="s">
        <v>69</v>
      </c>
      <c r="E43" s="733">
        <v>87262</v>
      </c>
      <c r="F43" s="735" t="s">
        <v>0</v>
      </c>
      <c r="G43" s="698">
        <v>219.64</v>
      </c>
      <c r="H43" s="697">
        <v>141.33</v>
      </c>
      <c r="I43" s="685">
        <f t="shared" si="4"/>
        <v>176.07</v>
      </c>
      <c r="J43" s="685">
        <f>ROUND(G43*I43,2)</f>
        <v>38672.01</v>
      </c>
      <c r="K43" s="699"/>
      <c r="L43" s="677"/>
    </row>
    <row r="44" spans="2:12" ht="18" customHeight="1">
      <c r="B44" s="774" t="s">
        <v>16</v>
      </c>
      <c r="C44" s="453" t="s">
        <v>22</v>
      </c>
      <c r="D44" s="739"/>
      <c r="E44" s="739"/>
      <c r="F44" s="758"/>
      <c r="G44" s="691"/>
      <c r="H44" s="691"/>
      <c r="I44" s="691"/>
      <c r="J44" s="692"/>
      <c r="K44" s="693">
        <f>SUM(J46:J50)</f>
        <v>13800</v>
      </c>
      <c r="L44" s="683">
        <f>K44/$K$69</f>
        <v>0.05923674230197072</v>
      </c>
    </row>
    <row r="45" spans="2:12" ht="17.25" customHeight="1">
      <c r="B45" s="775" t="s">
        <v>60</v>
      </c>
      <c r="C45" s="464" t="s">
        <v>371</v>
      </c>
      <c r="D45" s="740"/>
      <c r="E45" s="740"/>
      <c r="F45" s="759"/>
      <c r="G45" s="700"/>
      <c r="H45" s="700"/>
      <c r="I45" s="700"/>
      <c r="J45" s="701"/>
      <c r="K45" s="702"/>
      <c r="L45" s="677"/>
    </row>
    <row r="46" spans="2:12" s="127" customFormat="1" ht="17.25" customHeight="1">
      <c r="B46" s="776" t="s">
        <v>520</v>
      </c>
      <c r="C46" s="777" t="s">
        <v>372</v>
      </c>
      <c r="D46" s="732" t="s">
        <v>69</v>
      </c>
      <c r="E46" s="741">
        <v>90843</v>
      </c>
      <c r="F46" s="760" t="s">
        <v>373</v>
      </c>
      <c r="G46" s="703">
        <v>9</v>
      </c>
      <c r="H46" s="694">
        <v>718.46</v>
      </c>
      <c r="I46" s="685">
        <f t="shared" si="4"/>
        <v>895.06</v>
      </c>
      <c r="J46" s="685">
        <f>ROUND(G46*I46,2)</f>
        <v>8055.54</v>
      </c>
      <c r="K46" s="676"/>
      <c r="L46" s="677"/>
    </row>
    <row r="47" spans="2:12" s="127" customFormat="1" ht="18" customHeight="1">
      <c r="B47" s="776" t="s">
        <v>521</v>
      </c>
      <c r="C47" s="777" t="s">
        <v>514</v>
      </c>
      <c r="D47" s="732" t="s">
        <v>69</v>
      </c>
      <c r="E47" s="741" t="s">
        <v>528</v>
      </c>
      <c r="F47" s="760" t="s">
        <v>373</v>
      </c>
      <c r="G47" s="703">
        <v>2</v>
      </c>
      <c r="H47" s="694">
        <v>901.43</v>
      </c>
      <c r="I47" s="685">
        <f t="shared" si="4"/>
        <v>1123</v>
      </c>
      <c r="J47" s="685">
        <f>ROUND(G47*I47,2)</f>
        <v>2246</v>
      </c>
      <c r="K47" s="676"/>
      <c r="L47" s="677"/>
    </row>
    <row r="48" spans="2:12" ht="18" customHeight="1">
      <c r="B48" s="775" t="s">
        <v>61</v>
      </c>
      <c r="C48" s="464" t="s">
        <v>374</v>
      </c>
      <c r="D48" s="740"/>
      <c r="E48" s="740"/>
      <c r="F48" s="759"/>
      <c r="G48" s="700"/>
      <c r="H48" s="700"/>
      <c r="I48" s="700"/>
      <c r="J48" s="702"/>
      <c r="K48" s="702"/>
      <c r="L48" s="677"/>
    </row>
    <row r="49" spans="2:12" s="127" customFormat="1" ht="18" customHeight="1">
      <c r="B49" s="776" t="s">
        <v>522</v>
      </c>
      <c r="C49" s="451" t="s">
        <v>529</v>
      </c>
      <c r="D49" s="732" t="s">
        <v>375</v>
      </c>
      <c r="E49" s="733">
        <v>11940</v>
      </c>
      <c r="F49" s="760" t="s">
        <v>0</v>
      </c>
      <c r="G49" s="698">
        <v>4.95</v>
      </c>
      <c r="H49" s="694">
        <v>295.32</v>
      </c>
      <c r="I49" s="685">
        <f t="shared" si="4"/>
        <v>367.91</v>
      </c>
      <c r="J49" s="685">
        <f>ROUND(G49*I49,2)</f>
        <v>1821.15</v>
      </c>
      <c r="K49" s="699"/>
      <c r="L49" s="677"/>
    </row>
    <row r="50" spans="2:12" s="127" customFormat="1" ht="18" customHeight="1">
      <c r="B50" s="776" t="s">
        <v>523</v>
      </c>
      <c r="C50" s="778" t="s">
        <v>376</v>
      </c>
      <c r="D50" s="732" t="s">
        <v>69</v>
      </c>
      <c r="E50" s="741">
        <v>85002</v>
      </c>
      <c r="F50" s="760" t="s">
        <v>0</v>
      </c>
      <c r="G50" s="698">
        <v>4.95</v>
      </c>
      <c r="H50" s="694">
        <v>271.99</v>
      </c>
      <c r="I50" s="685">
        <f t="shared" si="4"/>
        <v>338.85</v>
      </c>
      <c r="J50" s="685">
        <f>ROUND(G50*I50,2)</f>
        <v>1677.31</v>
      </c>
      <c r="K50" s="699"/>
      <c r="L50" s="677"/>
    </row>
    <row r="51" spans="2:12" ht="18" customHeight="1">
      <c r="B51" s="779" t="s">
        <v>17</v>
      </c>
      <c r="C51" s="453" t="s">
        <v>25</v>
      </c>
      <c r="D51" s="739"/>
      <c r="E51" s="739"/>
      <c r="F51" s="758"/>
      <c r="G51" s="691"/>
      <c r="H51" s="691"/>
      <c r="I51" s="691"/>
      <c r="J51" s="691"/>
      <c r="K51" s="704">
        <f>SUM(J52:J59)</f>
        <v>58197.33</v>
      </c>
      <c r="L51" s="683">
        <f>K51/$K$69</f>
        <v>0.2498130608603442</v>
      </c>
    </row>
    <row r="52" spans="2:12" s="446" customFormat="1" ht="18" customHeight="1">
      <c r="B52" s="655" t="s">
        <v>19</v>
      </c>
      <c r="C52" s="452" t="s">
        <v>516</v>
      </c>
      <c r="D52" s="742" t="s">
        <v>69</v>
      </c>
      <c r="E52" s="743">
        <v>88485</v>
      </c>
      <c r="F52" s="761" t="s">
        <v>0</v>
      </c>
      <c r="G52" s="705">
        <v>666.45</v>
      </c>
      <c r="H52" s="694">
        <v>1.65</v>
      </c>
      <c r="I52" s="685">
        <f>ROUND(H52*($I$15+1),2)</f>
        <v>2.06</v>
      </c>
      <c r="J52" s="685">
        <f aca="true" t="shared" si="5" ref="J52:J59">ROUND(G52*I52,2)</f>
        <v>1372.89</v>
      </c>
      <c r="K52" s="706"/>
      <c r="L52" s="677"/>
    </row>
    <row r="53" spans="2:12" s="39" customFormat="1" ht="15">
      <c r="B53" s="655" t="s">
        <v>20</v>
      </c>
      <c r="C53" s="766" t="s">
        <v>517</v>
      </c>
      <c r="D53" s="742" t="s">
        <v>69</v>
      </c>
      <c r="E53" s="743" t="s">
        <v>415</v>
      </c>
      <c r="F53" s="761" t="s">
        <v>0</v>
      </c>
      <c r="G53" s="705">
        <v>666.45</v>
      </c>
      <c r="H53" s="694">
        <v>17.09</v>
      </c>
      <c r="I53" s="685">
        <f aca="true" t="shared" si="6" ref="I53:I59">ROUND(H53*($I$15+1),2)</f>
        <v>21.29</v>
      </c>
      <c r="J53" s="685">
        <f t="shared" si="5"/>
        <v>14188.72</v>
      </c>
      <c r="K53" s="667"/>
      <c r="L53" s="677"/>
    </row>
    <row r="54" spans="2:12" s="447" customFormat="1" ht="15">
      <c r="B54" s="780" t="s">
        <v>28</v>
      </c>
      <c r="C54" s="766" t="s">
        <v>530</v>
      </c>
      <c r="D54" s="744" t="s">
        <v>69</v>
      </c>
      <c r="E54" s="745">
        <v>79460</v>
      </c>
      <c r="F54" s="761" t="s">
        <v>0</v>
      </c>
      <c r="G54" s="672">
        <v>666.45</v>
      </c>
      <c r="H54" s="707">
        <v>41.22</v>
      </c>
      <c r="I54" s="685">
        <f t="shared" si="6"/>
        <v>51.35</v>
      </c>
      <c r="J54" s="685">
        <f t="shared" si="5"/>
        <v>34222.21</v>
      </c>
      <c r="K54" s="672"/>
      <c r="L54" s="677"/>
    </row>
    <row r="55" spans="2:12" s="447" customFormat="1" ht="15">
      <c r="B55" s="780" t="s">
        <v>29</v>
      </c>
      <c r="C55" s="766" t="s">
        <v>518</v>
      </c>
      <c r="D55" s="744" t="s">
        <v>69</v>
      </c>
      <c r="E55" s="745">
        <v>88484</v>
      </c>
      <c r="F55" s="761" t="s">
        <v>0</v>
      </c>
      <c r="G55" s="672">
        <v>173.12</v>
      </c>
      <c r="H55" s="707">
        <v>1.92</v>
      </c>
      <c r="I55" s="685">
        <f t="shared" si="6"/>
        <v>2.39</v>
      </c>
      <c r="J55" s="685">
        <f t="shared" si="5"/>
        <v>413.76</v>
      </c>
      <c r="K55" s="672"/>
      <c r="L55" s="677"/>
    </row>
    <row r="56" spans="2:12" s="39" customFormat="1" ht="15">
      <c r="B56" s="655" t="s">
        <v>30</v>
      </c>
      <c r="C56" s="766" t="s">
        <v>416</v>
      </c>
      <c r="D56" s="732" t="s">
        <v>69</v>
      </c>
      <c r="E56" s="733" t="s">
        <v>415</v>
      </c>
      <c r="F56" s="761" t="s">
        <v>0</v>
      </c>
      <c r="G56" s="672">
        <v>173.12</v>
      </c>
      <c r="H56" s="694">
        <v>17.09</v>
      </c>
      <c r="I56" s="685">
        <f t="shared" si="6"/>
        <v>21.29</v>
      </c>
      <c r="J56" s="685">
        <f t="shared" si="5"/>
        <v>3685.72</v>
      </c>
      <c r="K56" s="667"/>
      <c r="L56" s="677"/>
    </row>
    <row r="57" spans="2:12" s="39" customFormat="1" ht="15">
      <c r="B57" s="655" t="s">
        <v>64</v>
      </c>
      <c r="C57" s="765" t="s">
        <v>417</v>
      </c>
      <c r="D57" s="732" t="s">
        <v>69</v>
      </c>
      <c r="E57" s="733">
        <v>88488</v>
      </c>
      <c r="F57" s="761" t="s">
        <v>0</v>
      </c>
      <c r="G57" s="672">
        <v>173.12</v>
      </c>
      <c r="H57" s="694">
        <v>11.39</v>
      </c>
      <c r="I57" s="685">
        <f t="shared" si="6"/>
        <v>14.19</v>
      </c>
      <c r="J57" s="685">
        <f t="shared" si="5"/>
        <v>2456.57</v>
      </c>
      <c r="K57" s="667"/>
      <c r="L57" s="677"/>
    </row>
    <row r="58" spans="2:12" s="39" customFormat="1" ht="30">
      <c r="B58" s="658" t="s">
        <v>65</v>
      </c>
      <c r="C58" s="781" t="s">
        <v>533</v>
      </c>
      <c r="D58" s="732" t="s">
        <v>73</v>
      </c>
      <c r="E58" s="746" t="s">
        <v>534</v>
      </c>
      <c r="F58" s="762" t="s">
        <v>0</v>
      </c>
      <c r="G58" s="686">
        <v>52.5</v>
      </c>
      <c r="H58" s="697">
        <v>14.31</v>
      </c>
      <c r="I58" s="685">
        <f t="shared" si="6"/>
        <v>17.83</v>
      </c>
      <c r="J58" s="685">
        <f t="shared" si="5"/>
        <v>936.08</v>
      </c>
      <c r="K58" s="667"/>
      <c r="L58" s="677"/>
    </row>
    <row r="59" spans="2:12" s="39" customFormat="1" ht="15">
      <c r="B59" s="655" t="s">
        <v>107</v>
      </c>
      <c r="C59" s="765" t="s">
        <v>382</v>
      </c>
      <c r="D59" s="732" t="s">
        <v>69</v>
      </c>
      <c r="E59" s="741" t="s">
        <v>383</v>
      </c>
      <c r="F59" s="761" t="s">
        <v>0</v>
      </c>
      <c r="G59" s="672">
        <v>52.5</v>
      </c>
      <c r="H59" s="694">
        <v>14.09</v>
      </c>
      <c r="I59" s="685">
        <f t="shared" si="6"/>
        <v>17.55</v>
      </c>
      <c r="J59" s="685">
        <f t="shared" si="5"/>
        <v>921.38</v>
      </c>
      <c r="K59" s="667"/>
      <c r="L59" s="677"/>
    </row>
    <row r="60" spans="2:12" ht="18" customHeight="1">
      <c r="B60" s="779" t="s">
        <v>21</v>
      </c>
      <c r="C60" s="453" t="s">
        <v>26</v>
      </c>
      <c r="D60" s="739"/>
      <c r="E60" s="739"/>
      <c r="F60" s="758"/>
      <c r="G60" s="691"/>
      <c r="H60" s="691"/>
      <c r="I60" s="691"/>
      <c r="J60" s="692"/>
      <c r="K60" s="704">
        <f>SUM(J61:J63)</f>
        <v>89253.86</v>
      </c>
      <c r="L60" s="683">
        <f>K60/$K$69</f>
        <v>0.3831237611794328</v>
      </c>
    </row>
    <row r="61" spans="2:12" s="480" customFormat="1" ht="15">
      <c r="B61" s="782" t="s">
        <v>23</v>
      </c>
      <c r="C61" s="783" t="s">
        <v>552</v>
      </c>
      <c r="D61" s="744" t="s">
        <v>553</v>
      </c>
      <c r="E61" s="745"/>
      <c r="F61" s="761" t="s">
        <v>0</v>
      </c>
      <c r="G61" s="670">
        <v>51.8</v>
      </c>
      <c r="H61" s="708">
        <v>412.5</v>
      </c>
      <c r="I61" s="709">
        <f>ROUND(H61*($I$15+1),2)</f>
        <v>513.89</v>
      </c>
      <c r="J61" s="709">
        <f>ROUND(G61*I61,2)</f>
        <v>26619.5</v>
      </c>
      <c r="K61" s="670"/>
      <c r="L61" s="710"/>
    </row>
    <row r="62" spans="2:12" s="447" customFormat="1" ht="26.25" customHeight="1">
      <c r="B62" s="782" t="s">
        <v>54</v>
      </c>
      <c r="C62" s="766" t="s">
        <v>384</v>
      </c>
      <c r="D62" s="747" t="s">
        <v>375</v>
      </c>
      <c r="E62" s="745">
        <v>11736</v>
      </c>
      <c r="F62" s="761" t="s">
        <v>0</v>
      </c>
      <c r="G62" s="670">
        <v>1.35</v>
      </c>
      <c r="H62" s="665">
        <v>332.05</v>
      </c>
      <c r="I62" s="709">
        <f>ROUND(H62*($I$15+1),2)</f>
        <v>413.67</v>
      </c>
      <c r="J62" s="709">
        <f>ROUND(G62*I62,2)</f>
        <v>558.45</v>
      </c>
      <c r="K62" s="670"/>
      <c r="L62" s="710"/>
    </row>
    <row r="63" spans="2:12" s="447" customFormat="1" ht="26.25" customHeight="1">
      <c r="B63" s="784" t="s">
        <v>536</v>
      </c>
      <c r="C63" s="766" t="s">
        <v>546</v>
      </c>
      <c r="D63" s="748" t="s">
        <v>537</v>
      </c>
      <c r="E63" s="749"/>
      <c r="F63" s="761" t="s">
        <v>373</v>
      </c>
      <c r="G63" s="672">
        <v>1</v>
      </c>
      <c r="H63" s="665">
        <v>49828.15</v>
      </c>
      <c r="I63" s="711">
        <f>ROUND(H63*($I$15+1),2)</f>
        <v>62075.91</v>
      </c>
      <c r="J63" s="711">
        <f>ROUND(G63*I63,2)</f>
        <v>62075.91</v>
      </c>
      <c r="K63" s="712"/>
      <c r="L63" s="677"/>
    </row>
    <row r="64" spans="2:12" ht="18" customHeight="1">
      <c r="B64" s="779" t="s">
        <v>39</v>
      </c>
      <c r="C64" s="453" t="s">
        <v>387</v>
      </c>
      <c r="D64" s="739"/>
      <c r="E64" s="739"/>
      <c r="F64" s="758"/>
      <c r="G64" s="691"/>
      <c r="H64" s="691"/>
      <c r="I64" s="691"/>
      <c r="J64" s="692"/>
      <c r="K64" s="704">
        <f>SUM(J65:J67)</f>
        <v>709.49</v>
      </c>
      <c r="L64" s="683">
        <f>K64/$K$69</f>
        <v>0.0030454982823061743</v>
      </c>
    </row>
    <row r="65" spans="2:12" s="39" customFormat="1" ht="18" customHeight="1">
      <c r="B65" s="658" t="s">
        <v>40</v>
      </c>
      <c r="C65" s="766" t="s">
        <v>388</v>
      </c>
      <c r="D65" s="732" t="s">
        <v>69</v>
      </c>
      <c r="E65" s="750">
        <v>72897</v>
      </c>
      <c r="F65" s="761" t="s">
        <v>34</v>
      </c>
      <c r="G65" s="665">
        <v>4.4</v>
      </c>
      <c r="H65" s="694">
        <v>17.17</v>
      </c>
      <c r="I65" s="685">
        <f>ROUND(H65*($I$15+1),2)</f>
        <v>21.39</v>
      </c>
      <c r="J65" s="685">
        <f>ROUND(G65*I65,2)</f>
        <v>94.12</v>
      </c>
      <c r="K65" s="713"/>
      <c r="L65" s="668"/>
    </row>
    <row r="66" spans="2:12" s="39" customFormat="1" ht="33" customHeight="1">
      <c r="B66" s="656" t="s">
        <v>125</v>
      </c>
      <c r="C66" s="766" t="s">
        <v>389</v>
      </c>
      <c r="D66" s="732" t="s">
        <v>69</v>
      </c>
      <c r="E66" s="750">
        <v>72900</v>
      </c>
      <c r="F66" s="761" t="s">
        <v>34</v>
      </c>
      <c r="G66" s="665">
        <v>4.4</v>
      </c>
      <c r="H66" s="694">
        <v>5.79</v>
      </c>
      <c r="I66" s="662">
        <f>ROUND(H66*($I$15+1),2)</f>
        <v>7.21</v>
      </c>
      <c r="J66" s="662">
        <f>ROUND(G66*I66,2)</f>
        <v>31.72</v>
      </c>
      <c r="K66" s="714"/>
      <c r="L66" s="668"/>
    </row>
    <row r="67" spans="2:12" s="481" customFormat="1" ht="18" customHeight="1">
      <c r="B67" s="656" t="s">
        <v>126</v>
      </c>
      <c r="C67" s="766" t="s">
        <v>390</v>
      </c>
      <c r="D67" s="732" t="s">
        <v>77</v>
      </c>
      <c r="E67" s="751">
        <v>2450</v>
      </c>
      <c r="F67" s="763" t="s">
        <v>0</v>
      </c>
      <c r="G67" s="715">
        <v>279.26</v>
      </c>
      <c r="H67" s="708">
        <v>1.68</v>
      </c>
      <c r="I67" s="662">
        <f>ROUND(H67*($I$15+1),2)</f>
        <v>2.09</v>
      </c>
      <c r="J67" s="662">
        <f>ROUND(G67*I67,2)</f>
        <v>583.65</v>
      </c>
      <c r="K67" s="714"/>
      <c r="L67" s="716"/>
    </row>
    <row r="68" spans="2:12" s="39" customFormat="1" ht="18" customHeight="1">
      <c r="B68" s="68"/>
      <c r="C68" s="310"/>
      <c r="D68" s="735"/>
      <c r="E68" s="752"/>
      <c r="F68" s="669"/>
      <c r="G68" s="672"/>
      <c r="H68" s="684"/>
      <c r="I68" s="701"/>
      <c r="J68" s="701"/>
      <c r="K68" s="713"/>
      <c r="L68" s="668"/>
    </row>
    <row r="69" spans="2:12" s="18" customFormat="1" ht="18" customHeight="1">
      <c r="B69" s="465" t="s">
        <v>100</v>
      </c>
      <c r="C69" s="466"/>
      <c r="D69" s="466"/>
      <c r="E69" s="466"/>
      <c r="F69" s="463"/>
      <c r="G69" s="690"/>
      <c r="H69" s="717"/>
      <c r="I69" s="718"/>
      <c r="J69" s="718"/>
      <c r="K69" s="718">
        <f>SUM(K1:K67)</f>
        <v>232963.51999999996</v>
      </c>
      <c r="L69" s="719">
        <f>SUM(L17:L68)</f>
        <v>1.0000000000000002</v>
      </c>
    </row>
    <row r="70" spans="2:12" s="128" customFormat="1" ht="24.75" customHeight="1">
      <c r="B70" s="509" t="s">
        <v>555</v>
      </c>
      <c r="C70" s="509"/>
      <c r="D70" s="509"/>
      <c r="E70" s="509"/>
      <c r="F70" s="509"/>
      <c r="G70" s="509"/>
      <c r="H70" s="509"/>
      <c r="I70" s="509"/>
      <c r="J70" s="509"/>
      <c r="K70" s="509"/>
      <c r="L70" s="509"/>
    </row>
    <row r="71" spans="2:12" s="128" customFormat="1" ht="24.75" customHeight="1">
      <c r="B71" s="510"/>
      <c r="C71" s="510"/>
      <c r="D71" s="510"/>
      <c r="E71" s="510"/>
      <c r="F71" s="510"/>
      <c r="G71" s="510"/>
      <c r="H71" s="510"/>
      <c r="I71" s="510"/>
      <c r="J71" s="510"/>
      <c r="K71" s="510"/>
      <c r="L71" s="510"/>
    </row>
    <row r="72" spans="2:12" ht="18" customHeight="1">
      <c r="B72" s="467"/>
      <c r="C72" s="468"/>
      <c r="D72" s="468"/>
      <c r="E72" s="468"/>
      <c r="F72" s="467"/>
      <c r="G72" s="469"/>
      <c r="H72" s="470"/>
      <c r="I72" s="469"/>
      <c r="J72" s="469"/>
      <c r="K72" s="471"/>
      <c r="L72" s="472"/>
    </row>
    <row r="73" spans="2:12" ht="18" customHeight="1">
      <c r="B73" s="473"/>
      <c r="C73" s="478" t="s">
        <v>556</v>
      </c>
      <c r="D73" s="315"/>
      <c r="E73" s="315"/>
      <c r="F73" s="467"/>
      <c r="G73" s="469"/>
      <c r="H73" s="470"/>
      <c r="I73" s="469"/>
      <c r="J73" s="469"/>
      <c r="K73" s="474"/>
      <c r="L73" s="472"/>
    </row>
    <row r="74" spans="2:12" ht="18" customHeight="1">
      <c r="B74" s="6"/>
      <c r="C74" s="6"/>
      <c r="D74" s="6"/>
      <c r="E74" s="6"/>
      <c r="F74" s="5"/>
      <c r="G74" s="36"/>
      <c r="H74" s="54"/>
      <c r="I74" s="36"/>
      <c r="J74" s="36"/>
      <c r="K74" s="35"/>
      <c r="L74" s="30"/>
    </row>
    <row r="75" spans="2:12" ht="18" customHeight="1">
      <c r="B75" s="6"/>
      <c r="C75" s="6"/>
      <c r="D75" s="6"/>
      <c r="E75" s="4"/>
      <c r="F75" s="4"/>
      <c r="G75" s="4"/>
      <c r="H75" s="4"/>
      <c r="I75" s="290"/>
      <c r="J75" s="4"/>
      <c r="K75" s="35"/>
      <c r="L75" s="30"/>
    </row>
    <row r="76" spans="2:12" ht="15.75" customHeight="1">
      <c r="B76" s="511"/>
      <c r="C76" s="511"/>
      <c r="D76" s="50"/>
      <c r="E76" s="50"/>
      <c r="F76" s="40"/>
      <c r="G76" s="40"/>
      <c r="H76" s="55"/>
      <c r="I76" s="47"/>
      <c r="J76" s="47"/>
      <c r="K76" s="47"/>
      <c r="L76" s="40"/>
    </row>
    <row r="77" spans="2:12" ht="15.75" customHeight="1">
      <c r="B77" s="505"/>
      <c r="C77" s="505"/>
      <c r="D77" s="48"/>
      <c r="E77" s="48"/>
      <c r="F77" s="41"/>
      <c r="G77" s="41"/>
      <c r="H77" s="56"/>
      <c r="I77" s="41"/>
      <c r="J77" s="41"/>
      <c r="K77" s="41"/>
      <c r="L77" s="41"/>
    </row>
    <row r="78" spans="2:12" ht="15.75" customHeight="1">
      <c r="B78" s="506"/>
      <c r="C78" s="506"/>
      <c r="D78" s="49"/>
      <c r="E78" s="49"/>
      <c r="F78" s="42"/>
      <c r="G78" s="42"/>
      <c r="H78" s="57"/>
      <c r="I78" s="43"/>
      <c r="J78" s="43"/>
      <c r="K78" s="44"/>
      <c r="L78" s="45"/>
    </row>
  </sheetData>
  <sheetProtection/>
  <mergeCells count="24">
    <mergeCell ref="B77:C77"/>
    <mergeCell ref="B78:C78"/>
    <mergeCell ref="K14:K15"/>
    <mergeCell ref="L14:L15"/>
    <mergeCell ref="B70:L71"/>
    <mergeCell ref="B76:C76"/>
    <mergeCell ref="D63:E63"/>
    <mergeCell ref="B11:C11"/>
    <mergeCell ref="B12:L12"/>
    <mergeCell ref="B14:B15"/>
    <mergeCell ref="C14:C15"/>
    <mergeCell ref="D14:D15"/>
    <mergeCell ref="E14:E15"/>
    <mergeCell ref="F14:F15"/>
    <mergeCell ref="G14:G15"/>
    <mergeCell ref="H14:H15"/>
    <mergeCell ref="J14:J15"/>
    <mergeCell ref="F2:L3"/>
    <mergeCell ref="F4:L5"/>
    <mergeCell ref="F6:L7"/>
    <mergeCell ref="B9:E9"/>
    <mergeCell ref="F9:L9"/>
    <mergeCell ref="B10:E10"/>
    <mergeCell ref="F10:L10"/>
  </mergeCells>
  <hyperlinks>
    <hyperlink ref="C61" r:id="rId1" display="http://sites.seinfra.ce.gov.br/siproce/desonerada/html/C0383.html?a=1545420076829"/>
    <hyperlink ref="E67" r:id="rId2" display="http://187.17.2.135/orse/composicao.asp?font_sg_fonte=ORSE&amp;serv_nr_codigo=2450&amp;peri_nr_ano=2019&amp;peri_nr_mes=1&amp;peri_nr_ordem=1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"/>
  <sheetViews>
    <sheetView view="pageBreakPreview" zoomScale="85" zoomScaleSheetLayoutView="85" zoomScalePageLayoutView="0" workbookViewId="0" topLeftCell="A1">
      <selection activeCell="E10" sqref="E10:K10"/>
    </sheetView>
  </sheetViews>
  <sheetFormatPr defaultColWidth="9.140625" defaultRowHeight="15"/>
  <cols>
    <col min="2" max="2" width="47.8515625" style="0" bestFit="1" customWidth="1"/>
    <col min="3" max="3" width="8.57421875" style="0" bestFit="1" customWidth="1"/>
    <col min="4" max="4" width="14.57421875" style="0" customWidth="1"/>
    <col min="5" max="5" width="9.57421875" style="0" customWidth="1"/>
    <col min="6" max="6" width="11.28125" style="0" customWidth="1"/>
    <col min="7" max="7" width="8.421875" style="0" customWidth="1"/>
    <col min="8" max="8" width="11.57421875" style="0" bestFit="1" customWidth="1"/>
    <col min="9" max="9" width="7.57421875" style="0" bestFit="1" customWidth="1"/>
    <col min="10" max="10" width="11.00390625" style="0" bestFit="1" customWidth="1"/>
    <col min="11" max="11" width="12.57421875" style="0" customWidth="1"/>
  </cols>
  <sheetData>
    <row r="2" spans="1:11" ht="18" customHeight="1">
      <c r="A2" s="59"/>
      <c r="B2" s="60"/>
      <c r="C2" s="60"/>
      <c r="D2" s="60"/>
      <c r="E2" s="523" t="s">
        <v>74</v>
      </c>
      <c r="F2" s="524"/>
      <c r="G2" s="524"/>
      <c r="H2" s="524"/>
      <c r="I2" s="524"/>
      <c r="J2" s="524"/>
      <c r="K2" s="524"/>
    </row>
    <row r="3" spans="1:11" ht="18" customHeight="1">
      <c r="A3" s="61"/>
      <c r="B3" s="62"/>
      <c r="C3" s="62"/>
      <c r="D3" s="62"/>
      <c r="E3" s="524"/>
      <c r="F3" s="524"/>
      <c r="G3" s="524"/>
      <c r="H3" s="524"/>
      <c r="I3" s="524"/>
      <c r="J3" s="524"/>
      <c r="K3" s="524"/>
    </row>
    <row r="4" spans="1:11" ht="18" customHeight="1">
      <c r="A4" s="61"/>
      <c r="B4" s="62"/>
      <c r="C4" s="62"/>
      <c r="D4" s="62"/>
      <c r="E4" s="524" t="s">
        <v>75</v>
      </c>
      <c r="F4" s="524"/>
      <c r="G4" s="524"/>
      <c r="H4" s="524"/>
      <c r="I4" s="524"/>
      <c r="J4" s="524"/>
      <c r="K4" s="524"/>
    </row>
    <row r="5" spans="1:11" ht="18" customHeight="1">
      <c r="A5" s="61"/>
      <c r="B5" s="62"/>
      <c r="C5" s="62"/>
      <c r="D5" s="62"/>
      <c r="E5" s="524"/>
      <c r="F5" s="524"/>
      <c r="G5" s="524"/>
      <c r="H5" s="524"/>
      <c r="I5" s="524"/>
      <c r="J5" s="524"/>
      <c r="K5" s="524"/>
    </row>
    <row r="6" spans="1:11" ht="18" customHeight="1">
      <c r="A6" s="61"/>
      <c r="B6" s="62"/>
      <c r="C6" s="62"/>
      <c r="D6" s="62"/>
      <c r="E6" s="525" t="s">
        <v>75</v>
      </c>
      <c r="F6" s="525"/>
      <c r="G6" s="525"/>
      <c r="H6" s="525"/>
      <c r="I6" s="525"/>
      <c r="J6" s="525"/>
      <c r="K6" s="525"/>
    </row>
    <row r="7" spans="1:11" ht="18" customHeight="1">
      <c r="A7" s="63"/>
      <c r="B7" s="64"/>
      <c r="C7" s="64"/>
      <c r="D7" s="64"/>
      <c r="E7" s="525"/>
      <c r="F7" s="525"/>
      <c r="G7" s="525"/>
      <c r="H7" s="525"/>
      <c r="I7" s="525"/>
      <c r="J7" s="525"/>
      <c r="K7" s="525"/>
    </row>
    <row r="8" spans="1:11" ht="4.5" customHeight="1">
      <c r="A8" s="67"/>
      <c r="B8" s="62"/>
      <c r="C8" s="62"/>
      <c r="D8" s="62"/>
      <c r="E8" s="67"/>
      <c r="F8" s="69"/>
      <c r="G8" s="69"/>
      <c r="H8" s="69"/>
      <c r="I8" s="69"/>
      <c r="J8" s="70"/>
      <c r="K8" s="71"/>
    </row>
    <row r="9" spans="1:11" ht="34.5" customHeight="1">
      <c r="A9" s="485" t="str">
        <f>REFORMA!B9</f>
        <v>Obra:  REFORMA  DO CENTRO CIRÚRGICO DO HOSPITAL CHAGAS RODRIGUES</v>
      </c>
      <c r="B9" s="486"/>
      <c r="C9" s="486"/>
      <c r="D9" s="486"/>
      <c r="E9" s="485" t="str">
        <f>REFORMA!F9</f>
        <v>Município: PIRIPIRI-PI</v>
      </c>
      <c r="F9" s="486"/>
      <c r="G9" s="486"/>
      <c r="H9" s="486"/>
      <c r="I9" s="486"/>
      <c r="J9" s="486"/>
      <c r="K9" s="487"/>
    </row>
    <row r="10" spans="1:11" ht="32.25" customHeight="1">
      <c r="A10" s="485" t="str">
        <f>REFORMA!B10</f>
        <v>Endereço: AV. DR PADUA MENDES, 300, CENTRO</v>
      </c>
      <c r="B10" s="486"/>
      <c r="C10" s="486"/>
      <c r="D10" s="486"/>
      <c r="E10" s="519" t="str">
        <f>REFORMA!F10</f>
        <v>Data Base: SINAPI MARÇO 2019/Com Desoneração; ORSE JANEIRO 2019; SEINFRA 026.1</v>
      </c>
      <c r="F10" s="520"/>
      <c r="G10" s="520"/>
      <c r="H10" s="520"/>
      <c r="I10" s="520"/>
      <c r="J10" s="520"/>
      <c r="K10" s="521"/>
    </row>
    <row r="11" spans="1:11" ht="9.75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2"/>
    </row>
    <row r="12" spans="1:11" ht="24.75" customHeight="1">
      <c r="A12" s="526" t="s">
        <v>364</v>
      </c>
      <c r="B12" s="527"/>
      <c r="C12" s="527"/>
      <c r="D12" s="527"/>
      <c r="E12" s="527"/>
      <c r="F12" s="527"/>
      <c r="G12" s="527"/>
      <c r="H12" s="527"/>
      <c r="I12" s="527"/>
      <c r="J12" s="527"/>
      <c r="K12" s="528"/>
    </row>
    <row r="13" spans="1:11" ht="4.5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2"/>
    </row>
    <row r="14" spans="1:11" ht="15">
      <c r="A14" s="512" t="s">
        <v>32</v>
      </c>
      <c r="B14" s="512" t="s">
        <v>33</v>
      </c>
      <c r="C14" s="512" t="s">
        <v>44</v>
      </c>
      <c r="D14" s="512" t="s">
        <v>45</v>
      </c>
      <c r="E14" s="514" t="s">
        <v>46</v>
      </c>
      <c r="F14" s="515"/>
      <c r="G14" s="514" t="s">
        <v>47</v>
      </c>
      <c r="H14" s="515"/>
      <c r="I14" s="514" t="s">
        <v>52</v>
      </c>
      <c r="J14" s="515"/>
      <c r="K14" s="512" t="s">
        <v>31</v>
      </c>
    </row>
    <row r="15" spans="1:18" ht="15">
      <c r="A15" s="513"/>
      <c r="B15" s="513"/>
      <c r="C15" s="513"/>
      <c r="D15" s="513"/>
      <c r="E15" s="65" t="s">
        <v>48</v>
      </c>
      <c r="F15" s="65" t="s">
        <v>49</v>
      </c>
      <c r="G15" s="65" t="s">
        <v>48</v>
      </c>
      <c r="H15" s="65" t="s">
        <v>49</v>
      </c>
      <c r="I15" s="65" t="s">
        <v>48</v>
      </c>
      <c r="J15" s="65" t="s">
        <v>49</v>
      </c>
      <c r="K15" s="513"/>
      <c r="R15">
        <v>54166.6</v>
      </c>
    </row>
    <row r="16" spans="1:18" ht="4.5" customHeight="1">
      <c r="A16" s="74"/>
      <c r="B16" s="74"/>
      <c r="C16" s="75"/>
      <c r="D16" s="74"/>
      <c r="E16" s="75"/>
      <c r="F16" s="75"/>
      <c r="G16" s="75"/>
      <c r="H16" s="75"/>
      <c r="I16" s="75"/>
      <c r="J16" s="75"/>
      <c r="K16" s="74"/>
      <c r="R16">
        <v>148181.92</v>
      </c>
    </row>
    <row r="17" spans="1:18" ht="15">
      <c r="A17" s="133" t="s">
        <v>5</v>
      </c>
      <c r="B17" s="475" t="str">
        <f>REFORMA!C17</f>
        <v>SERVIÇOS PRELIMINARES</v>
      </c>
      <c r="C17" s="132">
        <f aca="true" t="shared" si="0" ref="C17:C25">D17/$D$26</f>
        <v>0.04017976720131978</v>
      </c>
      <c r="D17" s="11">
        <f>REFORMA!K17</f>
        <v>9360.420000000002</v>
      </c>
      <c r="E17" s="11">
        <v>100</v>
      </c>
      <c r="F17" s="11">
        <f aca="true" t="shared" si="1" ref="F17:F25">E17*D17/100</f>
        <v>9360.420000000002</v>
      </c>
      <c r="G17" s="11"/>
      <c r="H17" s="11">
        <f aca="true" t="shared" si="2" ref="H17:H25">G17*D17/100</f>
        <v>0</v>
      </c>
      <c r="I17" s="11"/>
      <c r="J17" s="11">
        <f aca="true" t="shared" si="3" ref="J17:J25">I17*D17/100</f>
        <v>0</v>
      </c>
      <c r="K17" s="12">
        <f aca="true" t="shared" si="4" ref="K17:K25">F17+H17+J17</f>
        <v>9360.420000000002</v>
      </c>
      <c r="R17">
        <f>SUM(R15:R16)</f>
        <v>202348.52000000002</v>
      </c>
    </row>
    <row r="18" spans="1:11" ht="15">
      <c r="A18" s="134" t="s">
        <v>7</v>
      </c>
      <c r="B18" s="475" t="str">
        <f>REFORMA!C25</f>
        <v>INSTALAÇÕES HIDRO-SANITÁRIAS</v>
      </c>
      <c r="C18" s="132">
        <f t="shared" si="0"/>
        <v>0.01864386321085808</v>
      </c>
      <c r="D18" s="11">
        <f>REFORMA!K25</f>
        <v>4343.34</v>
      </c>
      <c r="E18" s="11">
        <v>50</v>
      </c>
      <c r="F18" s="11">
        <f t="shared" si="1"/>
        <v>2171.67</v>
      </c>
      <c r="G18" s="11">
        <v>50</v>
      </c>
      <c r="H18" s="11">
        <f t="shared" si="2"/>
        <v>2171.67</v>
      </c>
      <c r="I18" s="11"/>
      <c r="J18" s="11">
        <f t="shared" si="3"/>
        <v>0</v>
      </c>
      <c r="K18" s="12">
        <f t="shared" si="4"/>
        <v>4343.34</v>
      </c>
    </row>
    <row r="19" spans="1:11" ht="15">
      <c r="A19" s="134" t="s">
        <v>9</v>
      </c>
      <c r="B19" s="475" t="str">
        <f>REFORMA!C33</f>
        <v>INSTALAÇÕES ELÉTRICAS</v>
      </c>
      <c r="C19" s="132">
        <f t="shared" si="0"/>
        <v>0.025480298374612475</v>
      </c>
      <c r="D19" s="11">
        <f>REFORMA!K33</f>
        <v>5935.98</v>
      </c>
      <c r="E19" s="11">
        <v>40</v>
      </c>
      <c r="F19" s="11">
        <f t="shared" si="1"/>
        <v>2374.392</v>
      </c>
      <c r="G19" s="11">
        <v>60</v>
      </c>
      <c r="H19" s="11">
        <f t="shared" si="2"/>
        <v>3561.5879999999997</v>
      </c>
      <c r="I19" s="11"/>
      <c r="J19" s="11">
        <f t="shared" si="3"/>
        <v>0</v>
      </c>
      <c r="K19" s="12">
        <f t="shared" si="4"/>
        <v>5935.98</v>
      </c>
    </row>
    <row r="20" spans="1:13" ht="15">
      <c r="A20" s="133" t="s">
        <v>11</v>
      </c>
      <c r="B20" s="476" t="str">
        <f>REFORMA!C37</f>
        <v>REVESTIMENTO PAREDE</v>
      </c>
      <c r="C20" s="132">
        <f t="shared" si="0"/>
        <v>0.05160597676408737</v>
      </c>
      <c r="D20" s="11">
        <f>REFORMA!K37</f>
        <v>12022.310000000001</v>
      </c>
      <c r="E20" s="11">
        <v>30</v>
      </c>
      <c r="F20" s="11">
        <f t="shared" si="1"/>
        <v>3606.6930000000007</v>
      </c>
      <c r="G20" s="11">
        <v>70</v>
      </c>
      <c r="H20" s="11">
        <f t="shared" si="2"/>
        <v>8415.617</v>
      </c>
      <c r="I20" s="11">
        <v>0</v>
      </c>
      <c r="J20" s="11">
        <f t="shared" si="3"/>
        <v>0</v>
      </c>
      <c r="K20" s="12">
        <f t="shared" si="4"/>
        <v>12022.310000000001</v>
      </c>
      <c r="M20">
        <f>37386.37/2</f>
        <v>18693.185</v>
      </c>
    </row>
    <row r="21" spans="1:11" ht="15">
      <c r="A21" s="133" t="s">
        <v>12</v>
      </c>
      <c r="B21" s="476" t="str">
        <f>REFORMA!C41</f>
        <v>REVESTIMENTO PISO</v>
      </c>
      <c r="C21" s="132">
        <f t="shared" si="0"/>
        <v>0.1688710318250686</v>
      </c>
      <c r="D21" s="11">
        <f>REFORMA!K41</f>
        <v>39340.79</v>
      </c>
      <c r="E21" s="11">
        <v>100</v>
      </c>
      <c r="F21" s="11">
        <f t="shared" si="1"/>
        <v>39340.79</v>
      </c>
      <c r="G21" s="11">
        <v>0</v>
      </c>
      <c r="H21" s="11">
        <f t="shared" si="2"/>
        <v>0</v>
      </c>
      <c r="I21" s="11">
        <v>0</v>
      </c>
      <c r="J21" s="11">
        <f t="shared" si="3"/>
        <v>0</v>
      </c>
      <c r="K21" s="12">
        <f t="shared" si="4"/>
        <v>39340.79</v>
      </c>
    </row>
    <row r="22" spans="1:11" ht="15">
      <c r="A22" s="133" t="s">
        <v>16</v>
      </c>
      <c r="B22" s="475" t="str">
        <f>REFORMA!C44</f>
        <v>ESQUADRIAS</v>
      </c>
      <c r="C22" s="132">
        <f t="shared" si="0"/>
        <v>0.05923674230197072</v>
      </c>
      <c r="D22" s="11">
        <f>REFORMA!K44</f>
        <v>13800</v>
      </c>
      <c r="E22" s="11">
        <v>0</v>
      </c>
      <c r="F22" s="11">
        <f t="shared" si="1"/>
        <v>0</v>
      </c>
      <c r="G22" s="11">
        <v>100</v>
      </c>
      <c r="H22" s="11">
        <f t="shared" si="2"/>
        <v>13800</v>
      </c>
      <c r="I22" s="11">
        <v>0</v>
      </c>
      <c r="J22" s="11">
        <f t="shared" si="3"/>
        <v>0</v>
      </c>
      <c r="K22" s="12">
        <f t="shared" si="4"/>
        <v>13800</v>
      </c>
    </row>
    <row r="23" spans="1:11" ht="15">
      <c r="A23" s="133" t="s">
        <v>17</v>
      </c>
      <c r="B23" s="475" t="str">
        <f>REFORMA!C51</f>
        <v>PINTURA</v>
      </c>
      <c r="C23" s="132">
        <f t="shared" si="0"/>
        <v>0.2498130608603442</v>
      </c>
      <c r="D23" s="11">
        <f>REFORMA!K51</f>
        <v>58197.33</v>
      </c>
      <c r="E23" s="11"/>
      <c r="F23" s="11">
        <f t="shared" si="1"/>
        <v>0</v>
      </c>
      <c r="G23" s="11">
        <v>100</v>
      </c>
      <c r="H23" s="11">
        <f t="shared" si="2"/>
        <v>58197.33</v>
      </c>
      <c r="I23" s="11">
        <v>0</v>
      </c>
      <c r="J23" s="11">
        <f t="shared" si="3"/>
        <v>0</v>
      </c>
      <c r="K23" s="12">
        <f t="shared" si="4"/>
        <v>58197.33</v>
      </c>
    </row>
    <row r="24" spans="1:11" ht="15">
      <c r="A24" s="137" t="s">
        <v>21</v>
      </c>
      <c r="B24" s="475" t="str">
        <f>REFORMA!C60</f>
        <v>DIVERSOS</v>
      </c>
      <c r="C24" s="132">
        <f t="shared" si="0"/>
        <v>0.3831237611794328</v>
      </c>
      <c r="D24" s="11">
        <f>REFORMA!K60</f>
        <v>89253.86</v>
      </c>
      <c r="E24" s="11">
        <v>0</v>
      </c>
      <c r="F24" s="11">
        <f t="shared" si="1"/>
        <v>0</v>
      </c>
      <c r="G24" s="11">
        <v>100</v>
      </c>
      <c r="H24" s="11">
        <f t="shared" si="2"/>
        <v>89253.86</v>
      </c>
      <c r="I24" s="11">
        <v>0</v>
      </c>
      <c r="J24" s="11">
        <f t="shared" si="3"/>
        <v>0</v>
      </c>
      <c r="K24" s="12">
        <f t="shared" si="4"/>
        <v>89253.86</v>
      </c>
    </row>
    <row r="25" spans="1:11" ht="15">
      <c r="A25" s="136" t="s">
        <v>39</v>
      </c>
      <c r="B25" s="475" t="str">
        <f>REFORMA!C64</f>
        <v>SERVIÇOS FINAIS</v>
      </c>
      <c r="C25" s="132">
        <f t="shared" si="0"/>
        <v>0.0030454982823061743</v>
      </c>
      <c r="D25" s="11">
        <f>REFORMA!K64</f>
        <v>709.49</v>
      </c>
      <c r="E25" s="11">
        <v>0</v>
      </c>
      <c r="F25" s="11">
        <f t="shared" si="1"/>
        <v>0</v>
      </c>
      <c r="G25" s="11">
        <v>100</v>
      </c>
      <c r="H25" s="11">
        <f t="shared" si="2"/>
        <v>709.49</v>
      </c>
      <c r="I25" s="11">
        <v>0</v>
      </c>
      <c r="J25" s="11">
        <f t="shared" si="3"/>
        <v>0</v>
      </c>
      <c r="K25" s="12">
        <f t="shared" si="4"/>
        <v>709.49</v>
      </c>
    </row>
    <row r="26" spans="1:11" ht="15">
      <c r="A26" s="10"/>
      <c r="B26" s="31" t="s">
        <v>50</v>
      </c>
      <c r="D26" s="11">
        <f>SUM(D17:D25)</f>
        <v>232963.51999999996</v>
      </c>
      <c r="E26" s="12">
        <f>F26/$D$26*100</f>
        <v>24.404664301088864</v>
      </c>
      <c r="F26" s="12">
        <f>SUM(F17:F25)</f>
        <v>56853.965000000004</v>
      </c>
      <c r="G26" s="12">
        <f>H26/$D$26*100</f>
        <v>75.59533569891114</v>
      </c>
      <c r="H26" s="11">
        <f>SUM(H18:H25)</f>
        <v>176109.555</v>
      </c>
      <c r="I26" s="12">
        <f>J26/$D$26*100</f>
        <v>0</v>
      </c>
      <c r="J26" s="12">
        <f>SUM(J17:J25)</f>
        <v>0</v>
      </c>
      <c r="K26" s="12">
        <f>F26+H26+J26</f>
        <v>232963.52</v>
      </c>
    </row>
    <row r="27" spans="1:11" ht="4.5" customHeight="1">
      <c r="A27" s="20"/>
      <c r="B27" s="66"/>
      <c r="C27" s="21"/>
      <c r="D27" s="22"/>
      <c r="E27" s="23"/>
      <c r="F27" s="22"/>
      <c r="G27" s="21"/>
      <c r="H27" s="22"/>
      <c r="I27" s="22"/>
      <c r="J27" s="22"/>
      <c r="K27" s="22"/>
    </row>
    <row r="28" spans="1:11" ht="15">
      <c r="A28" s="10"/>
      <c r="B28" s="31" t="s">
        <v>51</v>
      </c>
      <c r="C28" s="77">
        <f>SUM(C17:C25)</f>
        <v>1.0000000000000002</v>
      </c>
      <c r="D28" s="13"/>
      <c r="E28" s="76">
        <f>F26/D26</f>
        <v>0.24404664301088863</v>
      </c>
      <c r="F28" s="14"/>
      <c r="G28" s="14">
        <f>H26/D26</f>
        <v>0.7559533569891115</v>
      </c>
      <c r="H28" s="14"/>
      <c r="I28" s="14">
        <f>J26/D26</f>
        <v>0</v>
      </c>
      <c r="J28" s="14"/>
      <c r="K28" s="15">
        <f>E28+G28+I28</f>
        <v>1</v>
      </c>
    </row>
    <row r="29" spans="1:11" ht="15.75">
      <c r="A29" s="78"/>
      <c r="B29" s="477" t="s">
        <v>550</v>
      </c>
      <c r="C29" s="79"/>
      <c r="D29" s="78"/>
      <c r="E29" s="79"/>
      <c r="F29" s="79"/>
      <c r="G29" s="79"/>
      <c r="H29" s="79"/>
      <c r="I29" s="79"/>
      <c r="J29" s="79"/>
      <c r="K29" s="79"/>
    </row>
    <row r="30" spans="1:11" ht="15">
      <c r="A30" s="78"/>
      <c r="B30" s="78"/>
      <c r="C30" s="79"/>
      <c r="D30" s="131"/>
      <c r="E30" s="79"/>
      <c r="F30" s="79"/>
      <c r="G30" s="79"/>
      <c r="H30" s="79"/>
      <c r="I30" s="79"/>
      <c r="J30" s="79"/>
      <c r="K30" s="79"/>
    </row>
    <row r="31" spans="1:11" ht="15" customHeight="1">
      <c r="A31" s="292"/>
      <c r="B31" s="292"/>
      <c r="C31" s="80"/>
      <c r="D31" s="81"/>
      <c r="E31" s="82"/>
      <c r="F31" s="83"/>
      <c r="G31" s="82"/>
      <c r="H31" s="84"/>
      <c r="I31" s="84"/>
      <c r="J31" s="84"/>
      <c r="K31" s="79"/>
    </row>
    <row r="32" spans="1:11" ht="15">
      <c r="A32" s="85"/>
      <c r="B32" s="85"/>
      <c r="C32" s="80"/>
      <c r="D32" s="81"/>
      <c r="E32" s="82"/>
      <c r="F32" s="83"/>
      <c r="G32" s="82"/>
      <c r="H32" s="84"/>
      <c r="I32" s="84"/>
      <c r="J32" s="84"/>
      <c r="K32" s="79"/>
    </row>
    <row r="33" spans="1:11" ht="15">
      <c r="A33" s="86"/>
      <c r="B33" s="86"/>
      <c r="C33" s="87"/>
      <c r="D33" s="522"/>
      <c r="E33" s="522"/>
      <c r="F33" s="87"/>
      <c r="G33" s="88"/>
      <c r="H33" s="88"/>
      <c r="I33" s="89"/>
      <c r="J33" s="89"/>
      <c r="K33" s="78"/>
    </row>
    <row r="34" spans="1:11" ht="15">
      <c r="A34" s="86"/>
      <c r="B34" s="86"/>
      <c r="C34" s="87"/>
      <c r="D34" s="90"/>
      <c r="E34" s="90"/>
      <c r="F34" s="91"/>
      <c r="G34" s="92"/>
      <c r="H34" s="92"/>
      <c r="I34" s="516"/>
      <c r="J34" s="516"/>
      <c r="K34" s="79"/>
    </row>
    <row r="35" spans="1:11" ht="15">
      <c r="A35" s="9"/>
      <c r="B35" s="9"/>
      <c r="C35" s="8"/>
      <c r="D35" s="517"/>
      <c r="E35" s="517"/>
      <c r="F35" s="8"/>
      <c r="G35" s="32"/>
      <c r="H35" s="32"/>
      <c r="I35" s="518"/>
      <c r="J35" s="518"/>
      <c r="K35" s="16"/>
    </row>
  </sheetData>
  <sheetProtection/>
  <mergeCells count="20">
    <mergeCell ref="E2:K3"/>
    <mergeCell ref="E4:K5"/>
    <mergeCell ref="E6:K7"/>
    <mergeCell ref="A9:D9"/>
    <mergeCell ref="A10:D10"/>
    <mergeCell ref="A12:K12"/>
    <mergeCell ref="I34:J34"/>
    <mergeCell ref="I14:J14"/>
    <mergeCell ref="D35:E35"/>
    <mergeCell ref="I35:J35"/>
    <mergeCell ref="E10:K10"/>
    <mergeCell ref="G14:H14"/>
    <mergeCell ref="D33:E33"/>
    <mergeCell ref="A14:A15"/>
    <mergeCell ref="B14:B15"/>
    <mergeCell ref="C14:C15"/>
    <mergeCell ref="D14:D15"/>
    <mergeCell ref="E14:F14"/>
    <mergeCell ref="E9:K9"/>
    <mergeCell ref="K14:K15"/>
  </mergeCells>
  <printOptions/>
  <pageMargins left="0.511811024" right="0.511811024" top="0.787401575" bottom="0.787401575" header="0.31496062" footer="0.31496062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5"/>
  <sheetViews>
    <sheetView view="pageBreakPreview" zoomScale="83" zoomScaleNormal="80" zoomScaleSheetLayoutView="83" workbookViewId="0" topLeftCell="A1">
      <selection activeCell="G17" sqref="G17"/>
    </sheetView>
  </sheetViews>
  <sheetFormatPr defaultColWidth="9.140625" defaultRowHeight="15"/>
  <cols>
    <col min="1" max="1" width="2.57421875" style="138" customWidth="1"/>
    <col min="2" max="2" width="8.28125" style="139" customWidth="1"/>
    <col min="3" max="3" width="58.140625" style="139" customWidth="1"/>
    <col min="4" max="4" width="19.7109375" style="140" customWidth="1"/>
    <col min="5" max="5" width="15.7109375" style="140" customWidth="1"/>
    <col min="6" max="6" width="15.421875" style="139" customWidth="1"/>
    <col min="7" max="7" width="19.140625" style="139" customWidth="1"/>
    <col min="8" max="8" width="10.421875" style="138" customWidth="1"/>
    <col min="9" max="9" width="11.00390625" style="140" customWidth="1"/>
    <col min="10" max="16384" width="9.140625" style="139" customWidth="1"/>
  </cols>
  <sheetData>
    <row r="1" ht="15">
      <c r="H1" s="139"/>
    </row>
    <row r="2" spans="2:11" ht="30" customHeight="1">
      <c r="B2" s="532"/>
      <c r="C2" s="532"/>
      <c r="D2" s="534" t="s">
        <v>133</v>
      </c>
      <c r="E2" s="534"/>
      <c r="F2" s="534"/>
      <c r="G2" s="534"/>
      <c r="H2" s="139"/>
      <c r="I2" s="282" t="s">
        <v>349</v>
      </c>
      <c r="K2" t="s">
        <v>350</v>
      </c>
    </row>
    <row r="3" spans="2:11" ht="30" customHeight="1">
      <c r="B3" s="532"/>
      <c r="C3" s="532"/>
      <c r="D3" s="534" t="s">
        <v>134</v>
      </c>
      <c r="E3" s="534"/>
      <c r="F3" s="534"/>
      <c r="G3" s="534"/>
      <c r="H3" s="139"/>
      <c r="I3" s="140">
        <v>8.85</v>
      </c>
      <c r="J3" s="139">
        <v>3</v>
      </c>
      <c r="K3" s="283">
        <f aca="true" t="shared" si="0" ref="K3:K8">J3*I3</f>
        <v>26.549999999999997</v>
      </c>
    </row>
    <row r="4" spans="2:11" ht="30" customHeight="1" thickBot="1">
      <c r="B4" s="533"/>
      <c r="C4" s="533"/>
      <c r="D4" s="535" t="s">
        <v>135</v>
      </c>
      <c r="E4" s="535"/>
      <c r="F4" s="535"/>
      <c r="G4" s="535"/>
      <c r="H4" s="139"/>
      <c r="I4" s="140">
        <v>1.6</v>
      </c>
      <c r="J4" s="139">
        <v>2.1</v>
      </c>
      <c r="K4" s="283">
        <f t="shared" si="0"/>
        <v>3.3600000000000003</v>
      </c>
    </row>
    <row r="5" spans="2:11" ht="15.75" thickBot="1">
      <c r="B5" s="536" t="s">
        <v>367</v>
      </c>
      <c r="C5" s="537"/>
      <c r="D5" s="537"/>
      <c r="E5" s="537"/>
      <c r="F5" s="537"/>
      <c r="G5" s="538"/>
      <c r="H5" s="139"/>
      <c r="I5" s="140">
        <v>1.65</v>
      </c>
      <c r="J5" s="139">
        <v>0.6</v>
      </c>
      <c r="K5" s="283">
        <f t="shared" si="0"/>
        <v>0.9899999999999999</v>
      </c>
    </row>
    <row r="6" spans="2:11" ht="15">
      <c r="B6" s="539" t="s">
        <v>365</v>
      </c>
      <c r="C6" s="539"/>
      <c r="D6" s="539"/>
      <c r="E6" s="539"/>
      <c r="F6" s="540" t="s">
        <v>366</v>
      </c>
      <c r="G6" s="540"/>
      <c r="H6" s="139"/>
      <c r="I6" s="140">
        <v>1.65</v>
      </c>
      <c r="J6" s="139">
        <v>0.6</v>
      </c>
      <c r="K6" s="283">
        <f t="shared" si="0"/>
        <v>0.9899999999999999</v>
      </c>
    </row>
    <row r="7" spans="2:11" ht="15">
      <c r="B7" s="550" t="str">
        <f>'[1]Orçamento Fisioterapia'!B10:C10</f>
        <v>Endereço: Zona urbana</v>
      </c>
      <c r="C7" s="550"/>
      <c r="D7" s="550"/>
      <c r="E7" s="550"/>
      <c r="F7" s="551" t="s">
        <v>136</v>
      </c>
      <c r="G7" s="551"/>
      <c r="H7" s="139"/>
      <c r="I7" s="140">
        <v>1</v>
      </c>
      <c r="J7" s="139">
        <v>0.6</v>
      </c>
      <c r="K7" s="283">
        <f t="shared" si="0"/>
        <v>0.6</v>
      </c>
    </row>
    <row r="8" spans="2:11" ht="15">
      <c r="B8" s="552" t="s">
        <v>137</v>
      </c>
      <c r="C8" s="553"/>
      <c r="D8" s="553"/>
      <c r="E8" s="554"/>
      <c r="F8" s="551" t="s">
        <v>138</v>
      </c>
      <c r="G8" s="551"/>
      <c r="H8" s="139"/>
      <c r="I8" s="140">
        <v>0.8</v>
      </c>
      <c r="J8" s="139">
        <v>2.1</v>
      </c>
      <c r="K8" s="283">
        <f t="shared" si="0"/>
        <v>1.6800000000000002</v>
      </c>
    </row>
    <row r="9" spans="2:11" ht="15">
      <c r="B9" s="142" t="s">
        <v>5</v>
      </c>
      <c r="C9" s="555" t="s">
        <v>111</v>
      </c>
      <c r="D9" s="556"/>
      <c r="E9" s="556"/>
      <c r="F9" s="556"/>
      <c r="G9" s="557"/>
      <c r="H9" s="139"/>
      <c r="K9" s="284">
        <f>SUM(K3:K8)</f>
        <v>34.169999999999995</v>
      </c>
    </row>
    <row r="10" spans="2:8" ht="15">
      <c r="B10" s="143" t="s">
        <v>6</v>
      </c>
      <c r="C10" s="144" t="s">
        <v>272</v>
      </c>
      <c r="D10" s="145"/>
      <c r="E10" s="145"/>
      <c r="F10" s="146"/>
      <c r="G10" s="147"/>
      <c r="H10" s="196"/>
    </row>
    <row r="11" spans="2:11" ht="30.75" customHeight="1">
      <c r="B11" s="143" t="s">
        <v>101</v>
      </c>
      <c r="C11" s="148" t="s">
        <v>139</v>
      </c>
      <c r="D11" s="149"/>
      <c r="E11" s="149"/>
      <c r="F11" s="150"/>
      <c r="G11" s="151"/>
      <c r="H11" s="139">
        <v>3</v>
      </c>
      <c r="I11" s="140">
        <v>1</v>
      </c>
      <c r="J11" s="139">
        <v>0.8</v>
      </c>
      <c r="K11" s="283">
        <f>J11*I11*H11</f>
        <v>2.4000000000000004</v>
      </c>
    </row>
    <row r="12" spans="2:8" ht="15">
      <c r="B12" s="143" t="s">
        <v>102</v>
      </c>
      <c r="C12" s="148" t="s">
        <v>140</v>
      </c>
      <c r="D12" s="149"/>
      <c r="E12" s="149"/>
      <c r="F12" s="150"/>
      <c r="G12" s="151"/>
      <c r="H12" s="139"/>
    </row>
    <row r="13" spans="2:11" ht="15">
      <c r="B13" s="143" t="s">
        <v>103</v>
      </c>
      <c r="C13" s="148" t="s">
        <v>271</v>
      </c>
      <c r="D13" s="149">
        <f>9.35*3.95</f>
        <v>36.9325</v>
      </c>
      <c r="E13" s="149"/>
      <c r="F13" s="150"/>
      <c r="G13" s="151"/>
      <c r="H13" s="139"/>
      <c r="I13" s="140">
        <v>0.8</v>
      </c>
      <c r="J13" s="139">
        <v>2.1</v>
      </c>
      <c r="K13" s="283">
        <f>J13*I13</f>
        <v>1.6800000000000002</v>
      </c>
    </row>
    <row r="14" spans="2:11" ht="15">
      <c r="B14" s="142" t="s">
        <v>7</v>
      </c>
      <c r="C14" s="529" t="s">
        <v>35</v>
      </c>
      <c r="D14" s="530"/>
      <c r="E14" s="530"/>
      <c r="F14" s="530"/>
      <c r="G14" s="531"/>
      <c r="H14" s="139"/>
      <c r="K14" s="206">
        <f>SUM(K13)</f>
        <v>1.6800000000000002</v>
      </c>
    </row>
    <row r="15" spans="2:8" ht="15">
      <c r="B15" s="143" t="s">
        <v>8</v>
      </c>
      <c r="C15" s="153" t="s">
        <v>141</v>
      </c>
      <c r="D15" s="154" t="s">
        <v>142</v>
      </c>
      <c r="E15" s="154" t="s">
        <v>142</v>
      </c>
      <c r="F15" s="154" t="s">
        <v>143</v>
      </c>
      <c r="G15" s="154"/>
      <c r="H15" s="139"/>
    </row>
    <row r="16" spans="2:8" ht="15">
      <c r="B16" s="143"/>
      <c r="C16" s="148" t="s">
        <v>144</v>
      </c>
      <c r="D16" s="154">
        <v>3.95</v>
      </c>
      <c r="E16" s="154"/>
      <c r="F16" s="154"/>
      <c r="G16" s="154"/>
      <c r="H16" s="139"/>
    </row>
    <row r="17" spans="2:11" ht="15">
      <c r="B17" s="143"/>
      <c r="C17" s="148"/>
      <c r="D17" s="154">
        <v>2.6</v>
      </c>
      <c r="E17" s="154"/>
      <c r="F17" s="154"/>
      <c r="G17" s="154"/>
      <c r="H17" s="139"/>
      <c r="I17" s="282" t="s">
        <v>31</v>
      </c>
      <c r="K17" s="206">
        <f>K14+K9</f>
        <v>35.849999999999994</v>
      </c>
    </row>
    <row r="18" spans="2:8" ht="15">
      <c r="B18" s="143"/>
      <c r="C18" s="148"/>
      <c r="D18" s="154">
        <v>3.95</v>
      </c>
      <c r="E18" s="154"/>
      <c r="F18" s="154"/>
      <c r="G18" s="154"/>
      <c r="H18" s="139"/>
    </row>
    <row r="19" spans="2:11" ht="15">
      <c r="B19" s="143"/>
      <c r="C19" s="148"/>
      <c r="D19" s="154">
        <v>2.3</v>
      </c>
      <c r="E19" s="154"/>
      <c r="F19" s="154"/>
      <c r="G19" s="154"/>
      <c r="H19" s="139"/>
      <c r="K19" t="s">
        <v>351</v>
      </c>
    </row>
    <row r="20" spans="2:11" ht="15">
      <c r="B20" s="143"/>
      <c r="C20" s="148"/>
      <c r="D20" s="154">
        <v>1.5</v>
      </c>
      <c r="E20" s="154"/>
      <c r="F20" s="154"/>
      <c r="G20" s="154"/>
      <c r="H20" s="139"/>
      <c r="I20" s="140">
        <v>3</v>
      </c>
      <c r="J20" s="139">
        <v>30.3</v>
      </c>
      <c r="K20" s="206">
        <f>J20*I20</f>
        <v>90.9</v>
      </c>
    </row>
    <row r="21" spans="2:8" ht="15">
      <c r="B21" s="143"/>
      <c r="C21" s="148" t="s">
        <v>145</v>
      </c>
      <c r="E21" s="149"/>
      <c r="F21" s="149"/>
      <c r="G21" s="155"/>
      <c r="H21" s="139"/>
    </row>
    <row r="22" spans="2:8" ht="15">
      <c r="B22" s="143"/>
      <c r="C22" s="148"/>
      <c r="D22" s="154">
        <v>1.15</v>
      </c>
      <c r="E22" s="154"/>
      <c r="F22" s="154"/>
      <c r="G22" s="154"/>
      <c r="H22" s="139"/>
    </row>
    <row r="23" spans="2:9" ht="15">
      <c r="B23" s="143"/>
      <c r="C23" s="148"/>
      <c r="D23" s="154">
        <v>2.5</v>
      </c>
      <c r="E23" s="154"/>
      <c r="F23" s="154"/>
      <c r="G23" s="154"/>
      <c r="H23" s="139"/>
      <c r="I23" s="282" t="s">
        <v>352</v>
      </c>
    </row>
    <row r="24" spans="2:8" ht="15">
      <c r="B24" s="143"/>
      <c r="C24" s="148"/>
      <c r="D24" s="154">
        <v>9.05</v>
      </c>
      <c r="E24" s="154"/>
      <c r="F24" s="154"/>
      <c r="G24" s="154"/>
      <c r="H24" s="139"/>
    </row>
    <row r="25" spans="2:11" ht="15.75">
      <c r="B25" s="143"/>
      <c r="C25" s="148" t="s">
        <v>146</v>
      </c>
      <c r="D25" s="156">
        <f>SUM(D16:D24)</f>
        <v>27.000000000000004</v>
      </c>
      <c r="E25" s="154" t="s">
        <v>53</v>
      </c>
      <c r="F25" s="154"/>
      <c r="G25" s="154"/>
      <c r="H25" s="139"/>
      <c r="I25" s="140">
        <v>4.53</v>
      </c>
      <c r="J25" s="139">
        <v>3</v>
      </c>
      <c r="K25" s="206">
        <f>J25:J26*I25</f>
        <v>13.59</v>
      </c>
    </row>
    <row r="26" spans="2:11" ht="15">
      <c r="B26" s="143"/>
      <c r="C26" s="148"/>
      <c r="D26" s="154"/>
      <c r="E26" s="154"/>
      <c r="F26" s="154"/>
      <c r="G26" s="154"/>
      <c r="H26" s="139"/>
      <c r="K26" s="139">
        <v>2.15</v>
      </c>
    </row>
    <row r="27" spans="2:11" ht="15">
      <c r="B27" s="143"/>
      <c r="C27" s="157" t="s">
        <v>273</v>
      </c>
      <c r="D27" s="158">
        <f>D25*0.4*0.6</f>
        <v>6.480000000000001</v>
      </c>
      <c r="E27" s="149" t="s">
        <v>34</v>
      </c>
      <c r="F27" s="149"/>
      <c r="G27" s="155"/>
      <c r="H27" s="139"/>
      <c r="K27" s="139">
        <v>2.15</v>
      </c>
    </row>
    <row r="28" spans="2:11" ht="15">
      <c r="B28" s="143"/>
      <c r="C28" s="148" t="s">
        <v>274</v>
      </c>
      <c r="D28" s="154">
        <f>6*0.7*0.7*0.8</f>
        <v>2.352</v>
      </c>
      <c r="E28" s="149" t="s">
        <v>34</v>
      </c>
      <c r="F28" s="149"/>
      <c r="G28" s="155"/>
      <c r="H28" s="139"/>
      <c r="K28" s="139">
        <v>1.65</v>
      </c>
    </row>
    <row r="29" spans="2:11" ht="15.75" thickBot="1">
      <c r="B29" s="143"/>
      <c r="C29" s="159" t="s">
        <v>147</v>
      </c>
      <c r="D29" s="160">
        <f>SUM(D27:D28)</f>
        <v>8.832</v>
      </c>
      <c r="E29" s="149" t="s">
        <v>34</v>
      </c>
      <c r="F29" s="149"/>
      <c r="G29" s="155"/>
      <c r="H29" s="139"/>
      <c r="K29" s="139">
        <v>1.65</v>
      </c>
    </row>
    <row r="30" spans="4:11" ht="15">
      <c r="D30" s="161"/>
      <c r="E30" s="154"/>
      <c r="F30" s="154"/>
      <c r="G30" s="154"/>
      <c r="H30" s="139"/>
      <c r="K30" s="139">
        <v>1.65</v>
      </c>
    </row>
    <row r="31" spans="2:11" ht="15">
      <c r="B31" s="143" t="s">
        <v>37</v>
      </c>
      <c r="C31" s="148" t="s">
        <v>148</v>
      </c>
      <c r="E31" s="154"/>
      <c r="F31" s="154"/>
      <c r="G31" s="154"/>
      <c r="H31" s="139"/>
      <c r="K31" s="199">
        <f>SUM(K26:K30)</f>
        <v>9.25</v>
      </c>
    </row>
    <row r="32" spans="2:8" ht="15">
      <c r="B32" s="143"/>
      <c r="C32" s="148" t="s">
        <v>281</v>
      </c>
      <c r="D32" s="162">
        <f>D29-D28</f>
        <v>6.48</v>
      </c>
      <c r="E32" s="149" t="s">
        <v>34</v>
      </c>
      <c r="F32" s="154"/>
      <c r="G32" s="154"/>
      <c r="H32" s="139"/>
    </row>
    <row r="33" spans="2:8" ht="15.75" thickBot="1">
      <c r="B33" s="143"/>
      <c r="C33" s="148"/>
      <c r="D33" s="154"/>
      <c r="E33" s="154"/>
      <c r="F33" s="154"/>
      <c r="G33" s="154"/>
      <c r="H33" s="139"/>
    </row>
    <row r="34" spans="2:14" ht="15.75" thickBot="1">
      <c r="B34" s="143" t="s">
        <v>38</v>
      </c>
      <c r="C34" s="148" t="s">
        <v>149</v>
      </c>
      <c r="D34" s="154"/>
      <c r="E34" s="154"/>
      <c r="F34" s="154"/>
      <c r="G34" s="154"/>
      <c r="H34" s="139"/>
      <c r="I34" s="288" t="s">
        <v>352</v>
      </c>
      <c r="J34" s="289"/>
      <c r="K34" s="287">
        <f>K31+K25</f>
        <v>22.84</v>
      </c>
      <c r="L34" s="139">
        <v>0.4</v>
      </c>
      <c r="M34" s="139">
        <v>0.6</v>
      </c>
      <c r="N34" s="286">
        <f>M34*L34*K34</f>
        <v>5.481599999999999</v>
      </c>
    </row>
    <row r="35" spans="2:14" ht="15">
      <c r="B35" s="143"/>
      <c r="C35" s="148" t="s">
        <v>282</v>
      </c>
      <c r="D35" s="149"/>
      <c r="E35" s="149"/>
      <c r="F35" s="149"/>
      <c r="G35" s="155"/>
      <c r="H35" s="139"/>
      <c r="K35" s="139">
        <v>2</v>
      </c>
      <c r="L35" s="139">
        <v>0.4</v>
      </c>
      <c r="M35" s="139">
        <v>0.6</v>
      </c>
      <c r="N35" s="286">
        <f>M35*L35*K35</f>
        <v>0.48</v>
      </c>
    </row>
    <row r="36" spans="2:14" ht="15">
      <c r="B36" s="143"/>
      <c r="C36" s="148"/>
      <c r="D36" s="163">
        <f>D25*0.3*0.2</f>
        <v>1.6200000000000003</v>
      </c>
      <c r="E36" s="149" t="s">
        <v>34</v>
      </c>
      <c r="F36" s="149"/>
      <c r="G36" s="155"/>
      <c r="H36" s="139"/>
      <c r="N36" s="285">
        <f>SUM(N34:N35)</f>
        <v>5.961599999999999</v>
      </c>
    </row>
    <row r="37" spans="2:8" ht="15">
      <c r="B37" s="143"/>
      <c r="C37" s="148"/>
      <c r="D37" s="149"/>
      <c r="E37" s="149"/>
      <c r="F37" s="149"/>
      <c r="G37" s="155"/>
      <c r="H37" s="139"/>
    </row>
    <row r="38" spans="2:8" ht="18.75" customHeight="1">
      <c r="B38" s="141" t="s">
        <v>112</v>
      </c>
      <c r="C38" s="164" t="s">
        <v>283</v>
      </c>
      <c r="D38" s="165">
        <f>0.7*0.7*0.8*6</f>
        <v>2.352</v>
      </c>
      <c r="E38" s="149" t="s">
        <v>34</v>
      </c>
      <c r="F38" s="166"/>
      <c r="G38" s="167"/>
      <c r="H38" s="139"/>
    </row>
    <row r="39" spans="2:10" ht="18.75" customHeight="1">
      <c r="B39" s="141"/>
      <c r="C39" s="164"/>
      <c r="D39" s="168"/>
      <c r="E39" s="168"/>
      <c r="F39" s="166"/>
      <c r="G39" s="167"/>
      <c r="H39" s="139"/>
      <c r="J39" t="s">
        <v>353</v>
      </c>
    </row>
    <row r="40" spans="2:10" ht="15">
      <c r="B40" s="143" t="s">
        <v>113</v>
      </c>
      <c r="C40" s="148" t="s">
        <v>150</v>
      </c>
      <c r="D40" s="149"/>
      <c r="E40" s="149"/>
      <c r="F40" s="149"/>
      <c r="G40" s="155"/>
      <c r="H40" s="139"/>
      <c r="J40" s="139">
        <v>43.47</v>
      </c>
    </row>
    <row r="41" spans="2:10" ht="15">
      <c r="B41" s="143"/>
      <c r="C41" s="148" t="s">
        <v>155</v>
      </c>
      <c r="D41" s="154">
        <v>2.64</v>
      </c>
      <c r="E41" s="149"/>
      <c r="F41" s="149"/>
      <c r="G41" s="155"/>
      <c r="H41" s="139"/>
      <c r="J41" s="139">
        <v>6.77</v>
      </c>
    </row>
    <row r="42" spans="2:10" ht="15">
      <c r="B42" s="143"/>
      <c r="C42" s="148" t="s">
        <v>275</v>
      </c>
      <c r="D42" s="154">
        <v>23.12</v>
      </c>
      <c r="E42" s="149"/>
      <c r="F42" s="149"/>
      <c r="G42" s="155"/>
      <c r="H42" s="139"/>
      <c r="J42" s="139">
        <v>6.77</v>
      </c>
    </row>
    <row r="43" spans="2:10" ht="15">
      <c r="B43" s="143"/>
      <c r="C43" s="148" t="s">
        <v>276</v>
      </c>
      <c r="D43" s="154">
        <v>5.38</v>
      </c>
      <c r="E43" s="149"/>
      <c r="F43" s="149"/>
      <c r="G43" s="155"/>
      <c r="H43" s="139"/>
      <c r="J43" s="139">
        <v>3.34</v>
      </c>
    </row>
    <row r="44" spans="2:10" ht="15">
      <c r="B44" s="143"/>
      <c r="C44" s="148" t="s">
        <v>277</v>
      </c>
      <c r="D44" s="154">
        <v>1.99</v>
      </c>
      <c r="E44" s="149"/>
      <c r="F44" s="149"/>
      <c r="G44" s="155"/>
      <c r="H44" s="139"/>
      <c r="J44" s="139">
        <v>5.17</v>
      </c>
    </row>
    <row r="45" spans="2:10" ht="15">
      <c r="B45" s="143"/>
      <c r="C45" s="148"/>
      <c r="D45" s="162">
        <f>SUM(D41:D44)</f>
        <v>33.13</v>
      </c>
      <c r="E45" s="149" t="s">
        <v>0</v>
      </c>
      <c r="F45" s="149"/>
      <c r="G45" s="155"/>
      <c r="H45" s="139"/>
      <c r="J45" s="199">
        <f>SUM(J40:J44)</f>
        <v>65.52</v>
      </c>
    </row>
    <row r="46" spans="2:8" ht="15">
      <c r="B46" s="143"/>
      <c r="C46" s="148"/>
      <c r="D46" s="154"/>
      <c r="E46" s="149"/>
      <c r="F46" s="149"/>
      <c r="G46" s="155"/>
      <c r="H46" s="139"/>
    </row>
    <row r="47" spans="2:8" ht="15">
      <c r="B47" s="143" t="s">
        <v>114</v>
      </c>
      <c r="C47" s="148" t="s">
        <v>160</v>
      </c>
      <c r="D47" s="154"/>
      <c r="E47" s="149"/>
      <c r="F47" s="149"/>
      <c r="G47" s="155"/>
      <c r="H47" s="139"/>
    </row>
    <row r="48" spans="2:10" ht="15">
      <c r="B48" s="143"/>
      <c r="C48" s="148" t="s">
        <v>280</v>
      </c>
      <c r="D48" s="162">
        <f>D45*0.3</f>
        <v>9.939</v>
      </c>
      <c r="E48" s="149" t="s">
        <v>34</v>
      </c>
      <c r="F48" s="149"/>
      <c r="G48" s="155"/>
      <c r="H48" s="139"/>
      <c r="J48" t="s">
        <v>354</v>
      </c>
    </row>
    <row r="49" spans="2:8" ht="15">
      <c r="B49" s="143"/>
      <c r="C49" s="148"/>
      <c r="D49" s="154"/>
      <c r="E49" s="149"/>
      <c r="F49" s="149"/>
      <c r="G49" s="155"/>
      <c r="H49" s="139"/>
    </row>
    <row r="50" spans="2:8" ht="18" customHeight="1">
      <c r="B50" s="141" t="s">
        <v>115</v>
      </c>
      <c r="C50" s="164" t="s">
        <v>161</v>
      </c>
      <c r="D50" s="154"/>
      <c r="E50" s="149"/>
      <c r="F50" s="150"/>
      <c r="G50" s="151"/>
      <c r="H50" s="139"/>
    </row>
    <row r="51" spans="2:10" ht="18" customHeight="1">
      <c r="B51" s="141"/>
      <c r="C51" s="148" t="s">
        <v>278</v>
      </c>
      <c r="D51" s="162"/>
      <c r="E51" s="149" t="s">
        <v>34</v>
      </c>
      <c r="F51" s="150"/>
      <c r="G51" s="151"/>
      <c r="H51" s="139"/>
      <c r="J51" s="139">
        <v>33.2</v>
      </c>
    </row>
    <row r="52" spans="2:10" ht="18" customHeight="1">
      <c r="B52" s="141"/>
      <c r="C52" s="164"/>
      <c r="D52" s="154"/>
      <c r="E52" s="149"/>
      <c r="F52" s="150"/>
      <c r="G52" s="151"/>
      <c r="H52" s="139"/>
      <c r="J52" s="139">
        <v>11.5</v>
      </c>
    </row>
    <row r="53" spans="2:10" ht="18" customHeight="1">
      <c r="B53" s="141" t="s">
        <v>162</v>
      </c>
      <c r="C53" s="164" t="s">
        <v>163</v>
      </c>
      <c r="D53" s="154"/>
      <c r="E53" s="149"/>
      <c r="F53" s="150"/>
      <c r="G53" s="151"/>
      <c r="H53" s="139"/>
      <c r="J53" s="139">
        <v>11.5</v>
      </c>
    </row>
    <row r="54" spans="2:10" ht="18" customHeight="1">
      <c r="B54" s="141"/>
      <c r="C54" s="164" t="s">
        <v>279</v>
      </c>
      <c r="D54" s="162">
        <f>D25*0.4</f>
        <v>10.800000000000002</v>
      </c>
      <c r="E54" s="149" t="s">
        <v>0</v>
      </c>
      <c r="F54" s="150"/>
      <c r="G54" s="151"/>
      <c r="H54" s="139"/>
      <c r="J54" s="139">
        <v>7.41</v>
      </c>
    </row>
    <row r="55" spans="2:10" ht="18" customHeight="1">
      <c r="B55" s="141"/>
      <c r="C55" s="164"/>
      <c r="D55" s="149"/>
      <c r="E55" s="149"/>
      <c r="F55" s="150"/>
      <c r="G55" s="151"/>
      <c r="H55" s="139"/>
      <c r="J55" s="139">
        <v>9.17</v>
      </c>
    </row>
    <row r="56" spans="2:12" ht="21.75" customHeight="1">
      <c r="B56" s="141" t="s">
        <v>164</v>
      </c>
      <c r="C56" s="541" t="s">
        <v>165</v>
      </c>
      <c r="D56" s="542"/>
      <c r="E56" s="542"/>
      <c r="F56" s="542"/>
      <c r="G56" s="543"/>
      <c r="H56" s="139"/>
      <c r="J56" s="139">
        <f>SUM(J51:J55)</f>
        <v>72.78</v>
      </c>
      <c r="K56" s="139">
        <v>3</v>
      </c>
      <c r="L56" s="139">
        <f>K56*J56</f>
        <v>218.34</v>
      </c>
    </row>
    <row r="57" spans="2:7" ht="15">
      <c r="B57" s="170"/>
      <c r="C57" s="171" t="s">
        <v>166</v>
      </c>
      <c r="D57" s="169"/>
      <c r="E57" s="169"/>
      <c r="F57" s="170"/>
      <c r="G57" s="170"/>
    </row>
    <row r="58" spans="2:7" ht="15">
      <c r="B58" s="170"/>
      <c r="C58" s="171">
        <v>-8.83</v>
      </c>
      <c r="D58" s="172">
        <f>D29</f>
        <v>8.832</v>
      </c>
      <c r="E58" s="149" t="s">
        <v>34</v>
      </c>
      <c r="F58" s="170"/>
      <c r="G58" s="170"/>
    </row>
    <row r="60" spans="2:8" ht="15">
      <c r="B60" s="142" t="s">
        <v>9</v>
      </c>
      <c r="C60" s="529" t="s">
        <v>120</v>
      </c>
      <c r="D60" s="530"/>
      <c r="E60" s="530"/>
      <c r="F60" s="530"/>
      <c r="G60" s="531"/>
      <c r="H60" s="139"/>
    </row>
    <row r="61" spans="2:13" ht="18" customHeight="1">
      <c r="B61" s="141" t="s">
        <v>116</v>
      </c>
      <c r="C61" s="148" t="s">
        <v>144</v>
      </c>
      <c r="D61" s="154"/>
      <c r="E61" s="149"/>
      <c r="F61" s="150"/>
      <c r="G61" s="151"/>
      <c r="H61" s="139"/>
      <c r="I61" s="282" t="s">
        <v>355</v>
      </c>
      <c r="J61">
        <v>0.8</v>
      </c>
      <c r="K61" s="139">
        <v>2.1</v>
      </c>
      <c r="L61" s="139">
        <v>5</v>
      </c>
      <c r="M61" s="139">
        <f>L61*K61*J61</f>
        <v>8.4</v>
      </c>
    </row>
    <row r="62" spans="2:13" ht="18" customHeight="1">
      <c r="B62" s="141"/>
      <c r="C62" s="148"/>
      <c r="D62" s="154">
        <v>3.95</v>
      </c>
      <c r="E62" s="149"/>
      <c r="F62" s="150"/>
      <c r="G62" s="151"/>
      <c r="H62" s="139"/>
      <c r="J62" s="139">
        <v>0.6</v>
      </c>
      <c r="K62" s="139">
        <v>1.6</v>
      </c>
      <c r="L62" s="139">
        <v>1</v>
      </c>
      <c r="M62" s="139">
        <f>L62*K62*J62</f>
        <v>0.96</v>
      </c>
    </row>
    <row r="63" spans="2:13" ht="18" customHeight="1">
      <c r="B63" s="141"/>
      <c r="C63" s="148"/>
      <c r="D63" s="154">
        <v>2.6</v>
      </c>
      <c r="E63" s="149"/>
      <c r="F63" s="150"/>
      <c r="G63" s="151"/>
      <c r="H63" s="139"/>
      <c r="J63" s="139">
        <v>1.6</v>
      </c>
      <c r="K63" s="139">
        <v>2.1</v>
      </c>
      <c r="L63" s="139">
        <v>1</v>
      </c>
      <c r="M63" s="139">
        <f>L63*K63*J63</f>
        <v>3.3600000000000003</v>
      </c>
    </row>
    <row r="64" spans="2:13" ht="18" customHeight="1">
      <c r="B64" s="141"/>
      <c r="C64" s="148"/>
      <c r="D64" s="154">
        <v>3.95</v>
      </c>
      <c r="E64" s="149"/>
      <c r="F64" s="150"/>
      <c r="G64" s="151"/>
      <c r="H64" s="139"/>
      <c r="M64" s="139">
        <f>SUM(M61:M63)</f>
        <v>12.719999999999999</v>
      </c>
    </row>
    <row r="65" spans="2:8" ht="18" customHeight="1">
      <c r="B65" s="141"/>
      <c r="C65" s="148"/>
      <c r="D65" s="154">
        <v>2.3</v>
      </c>
      <c r="E65" s="149"/>
      <c r="F65" s="150"/>
      <c r="G65" s="151"/>
      <c r="H65" s="139"/>
    </row>
    <row r="66" spans="2:8" ht="18" customHeight="1">
      <c r="B66" s="141"/>
      <c r="C66" s="148"/>
      <c r="D66" s="154">
        <v>1.5</v>
      </c>
      <c r="E66" s="149"/>
      <c r="F66" s="150"/>
      <c r="G66" s="151"/>
      <c r="H66" s="139"/>
    </row>
    <row r="67" spans="2:8" ht="18" customHeight="1">
      <c r="B67" s="141"/>
      <c r="C67" s="148"/>
      <c r="D67" s="169"/>
      <c r="F67" s="150"/>
      <c r="G67" s="151"/>
      <c r="H67" s="139"/>
    </row>
    <row r="68" spans="2:11" ht="18" customHeight="1">
      <c r="B68" s="141"/>
      <c r="C68" s="148" t="s">
        <v>145</v>
      </c>
      <c r="D68" s="169"/>
      <c r="E68" s="149"/>
      <c r="F68" s="150"/>
      <c r="G68" s="151"/>
      <c r="H68" s="139"/>
      <c r="I68" s="282" t="s">
        <v>356</v>
      </c>
      <c r="J68" s="139">
        <v>3</v>
      </c>
      <c r="K68" s="139">
        <v>0.6</v>
      </c>
    </row>
    <row r="69" spans="2:11" ht="18" customHeight="1">
      <c r="B69" s="141"/>
      <c r="C69" s="148"/>
      <c r="D69" s="154">
        <v>1.15</v>
      </c>
      <c r="E69" s="149"/>
      <c r="F69" s="150"/>
      <c r="G69" s="151"/>
      <c r="H69" s="139"/>
      <c r="J69" s="139">
        <v>4</v>
      </c>
      <c r="K69" s="139">
        <v>0.6</v>
      </c>
    </row>
    <row r="70" spans="2:11" ht="18" customHeight="1">
      <c r="B70" s="141"/>
      <c r="C70" s="148"/>
      <c r="D70" s="154">
        <v>2.5</v>
      </c>
      <c r="E70" s="149"/>
      <c r="F70" s="150"/>
      <c r="G70" s="151"/>
      <c r="H70" s="139"/>
      <c r="J70" s="139">
        <v>1.65</v>
      </c>
      <c r="K70" s="139">
        <v>0.6</v>
      </c>
    </row>
    <row r="71" spans="2:11" ht="18" customHeight="1">
      <c r="B71" s="141"/>
      <c r="C71" s="148"/>
      <c r="D71" s="154">
        <v>9.05</v>
      </c>
      <c r="E71" s="149"/>
      <c r="F71" s="150"/>
      <c r="G71" s="151"/>
      <c r="H71" s="139"/>
      <c r="J71" s="139">
        <v>1.65</v>
      </c>
      <c r="K71" s="139">
        <v>0.6</v>
      </c>
    </row>
    <row r="72" spans="2:11" ht="18" customHeight="1">
      <c r="B72" s="141"/>
      <c r="C72" s="148"/>
      <c r="D72" s="154"/>
      <c r="E72" s="149"/>
      <c r="F72" s="150"/>
      <c r="G72" s="151"/>
      <c r="H72" s="139"/>
      <c r="J72" s="139">
        <v>1</v>
      </c>
      <c r="K72" s="139">
        <v>0.6</v>
      </c>
    </row>
    <row r="73" spans="2:11" ht="18" customHeight="1">
      <c r="B73" s="141"/>
      <c r="D73" s="173">
        <f>SUM(D62:D72)</f>
        <v>27.000000000000004</v>
      </c>
      <c r="E73" s="150" t="s">
        <v>0</v>
      </c>
      <c r="F73" s="150"/>
      <c r="G73" s="151"/>
      <c r="H73" s="139"/>
      <c r="K73" s="139">
        <f>SUM(K68:K72)</f>
        <v>3</v>
      </c>
    </row>
    <row r="74" spans="2:8" ht="18" customHeight="1">
      <c r="B74" s="141"/>
      <c r="C74" s="174" t="s">
        <v>167</v>
      </c>
      <c r="D74" s="175">
        <f>D73*3.3</f>
        <v>89.10000000000001</v>
      </c>
      <c r="E74" s="150" t="s">
        <v>0</v>
      </c>
      <c r="F74" s="150"/>
      <c r="G74" s="151"/>
      <c r="H74" s="139"/>
    </row>
    <row r="75" spans="2:8" ht="18" customHeight="1">
      <c r="B75" s="141"/>
      <c r="C75" s="164"/>
      <c r="D75" s="149"/>
      <c r="E75" s="149"/>
      <c r="F75" s="150"/>
      <c r="G75" s="151"/>
      <c r="H75" s="139"/>
    </row>
    <row r="76" spans="2:8" ht="29.25" customHeight="1">
      <c r="B76" s="141" t="s">
        <v>117</v>
      </c>
      <c r="C76" s="164" t="s">
        <v>168</v>
      </c>
      <c r="D76" s="149"/>
      <c r="E76" s="149"/>
      <c r="F76" s="150"/>
      <c r="G76" s="151"/>
      <c r="H76" s="139"/>
    </row>
    <row r="77" spans="2:8" ht="18" customHeight="1">
      <c r="B77" s="141"/>
      <c r="C77" s="164" t="s">
        <v>169</v>
      </c>
      <c r="D77" s="149"/>
      <c r="E77" s="149"/>
      <c r="F77" s="150"/>
      <c r="G77" s="151"/>
      <c r="H77" s="139"/>
    </row>
    <row r="78" spans="2:8" ht="18" customHeight="1">
      <c r="B78" s="141"/>
      <c r="C78" s="164" t="s">
        <v>284</v>
      </c>
      <c r="D78" s="173">
        <f>0.12*0.2*4*6</f>
        <v>0.5760000000000001</v>
      </c>
      <c r="E78" s="154" t="s">
        <v>34</v>
      </c>
      <c r="F78" s="150"/>
      <c r="G78" s="151"/>
      <c r="H78" s="139"/>
    </row>
    <row r="79" spans="2:8" ht="18" customHeight="1">
      <c r="B79" s="141"/>
      <c r="C79" s="198" t="s">
        <v>287</v>
      </c>
      <c r="D79" s="154"/>
      <c r="E79" s="154"/>
      <c r="F79" s="150"/>
      <c r="G79" s="151"/>
      <c r="H79" s="139"/>
    </row>
    <row r="80" spans="2:8" ht="18" customHeight="1">
      <c r="B80" s="141"/>
      <c r="C80" s="185" t="s">
        <v>288</v>
      </c>
      <c r="D80" s="158">
        <f>3*1.3*0.1*0.2</f>
        <v>0.07800000000000001</v>
      </c>
      <c r="E80" s="158" t="s">
        <v>34</v>
      </c>
      <c r="F80" s="150"/>
      <c r="G80" s="151"/>
      <c r="H80" s="139"/>
    </row>
    <row r="81" spans="2:8" ht="18" customHeight="1">
      <c r="B81" s="141"/>
      <c r="C81" s="170"/>
      <c r="D81" s="154"/>
      <c r="E81" s="154"/>
      <c r="F81" s="150"/>
      <c r="G81" s="151"/>
      <c r="H81" s="139"/>
    </row>
    <row r="82" spans="2:8" ht="18" customHeight="1">
      <c r="B82" s="141"/>
      <c r="C82" s="164" t="s">
        <v>171</v>
      </c>
      <c r="D82" s="154"/>
      <c r="E82" s="154"/>
      <c r="F82" s="150"/>
      <c r="G82" s="151"/>
      <c r="H82" s="139"/>
    </row>
    <row r="83" spans="2:8" ht="18" customHeight="1">
      <c r="B83" s="141"/>
      <c r="C83" s="164" t="s">
        <v>286</v>
      </c>
      <c r="D83" s="173">
        <f>3.15*0.12*0.3</f>
        <v>0.1134</v>
      </c>
      <c r="E83" s="154" t="s">
        <v>34</v>
      </c>
      <c r="F83" s="150"/>
      <c r="G83" s="151"/>
      <c r="H83" s="139"/>
    </row>
    <row r="84" spans="2:8" ht="18" customHeight="1">
      <c r="B84" s="141"/>
      <c r="C84" s="176" t="s">
        <v>31</v>
      </c>
      <c r="D84" s="162">
        <f>SUM(D78:D83)</f>
        <v>0.7674000000000001</v>
      </c>
      <c r="E84" s="154" t="s">
        <v>34</v>
      </c>
      <c r="F84" s="150"/>
      <c r="G84" s="151"/>
      <c r="H84" s="139"/>
    </row>
    <row r="85" spans="2:8" ht="18" customHeight="1">
      <c r="B85" s="141"/>
      <c r="C85" s="164"/>
      <c r="D85" s="154"/>
      <c r="E85" s="154"/>
      <c r="F85" s="150"/>
      <c r="G85" s="151"/>
      <c r="H85" s="139"/>
    </row>
    <row r="86" spans="2:8" ht="15">
      <c r="B86" s="141" t="s">
        <v>172</v>
      </c>
      <c r="C86" s="544" t="s">
        <v>173</v>
      </c>
      <c r="D86" s="545"/>
      <c r="E86" s="545"/>
      <c r="F86" s="545"/>
      <c r="G86" s="546"/>
      <c r="H86" s="139"/>
    </row>
    <row r="87" spans="2:8" ht="15">
      <c r="B87" s="141"/>
      <c r="C87" s="180" t="s">
        <v>174</v>
      </c>
      <c r="D87" s="162">
        <v>36.9325</v>
      </c>
      <c r="E87" s="181" t="s">
        <v>0</v>
      </c>
      <c r="F87" s="178"/>
      <c r="G87" s="179"/>
      <c r="H87" s="139"/>
    </row>
    <row r="88" spans="2:8" ht="15">
      <c r="B88" s="141"/>
      <c r="C88" s="177"/>
      <c r="D88" s="197"/>
      <c r="E88" s="178"/>
      <c r="F88" s="178"/>
      <c r="G88" s="179"/>
      <c r="H88" s="139"/>
    </row>
    <row r="89" spans="2:8" ht="18" customHeight="1">
      <c r="B89" s="141"/>
      <c r="C89" s="164" t="s">
        <v>170</v>
      </c>
      <c r="D89" s="154"/>
      <c r="E89" s="154"/>
      <c r="F89" s="150"/>
      <c r="G89" s="151"/>
      <c r="H89" s="139"/>
    </row>
    <row r="90" spans="2:8" ht="18" customHeight="1">
      <c r="B90" s="141"/>
      <c r="C90" s="164" t="s">
        <v>285</v>
      </c>
      <c r="D90" s="173">
        <f>0.1*0.2*27*2</f>
        <v>1.0800000000000003</v>
      </c>
      <c r="E90" s="154" t="s">
        <v>34</v>
      </c>
      <c r="F90" s="150"/>
      <c r="G90" s="151"/>
      <c r="H90" s="139"/>
    </row>
    <row r="91" spans="1:8" ht="15">
      <c r="A91" s="139"/>
      <c r="B91" s="142" t="s">
        <v>11</v>
      </c>
      <c r="C91" s="152" t="s">
        <v>36</v>
      </c>
      <c r="D91" s="182"/>
      <c r="E91" s="182"/>
      <c r="F91" s="183"/>
      <c r="G91" s="184"/>
      <c r="H91" s="139"/>
    </row>
    <row r="92" spans="2:9" s="199" customFormat="1" ht="15">
      <c r="B92" s="190" t="s">
        <v>78</v>
      </c>
      <c r="C92" s="547" t="s">
        <v>290</v>
      </c>
      <c r="D92" s="548"/>
      <c r="E92" s="548"/>
      <c r="F92" s="548"/>
      <c r="G92" s="549"/>
      <c r="I92" s="200"/>
    </row>
    <row r="93" spans="2:9" s="199" customFormat="1" ht="15">
      <c r="B93" s="190" t="s">
        <v>118</v>
      </c>
      <c r="C93" s="547" t="s">
        <v>291</v>
      </c>
      <c r="D93" s="548"/>
      <c r="E93" s="548"/>
      <c r="F93" s="548"/>
      <c r="G93" s="549"/>
      <c r="I93" s="200"/>
    </row>
    <row r="94" spans="2:9" s="199" customFormat="1" ht="15">
      <c r="B94" s="190" t="s">
        <v>119</v>
      </c>
      <c r="C94" s="201" t="s">
        <v>289</v>
      </c>
      <c r="D94" s="202">
        <f>(20+15.2)</f>
        <v>35.2</v>
      </c>
      <c r="E94" s="203" t="s">
        <v>53</v>
      </c>
      <c r="F94" s="203"/>
      <c r="G94" s="204"/>
      <c r="I94" s="200"/>
    </row>
    <row r="95" spans="2:9" s="199" customFormat="1" ht="15">
      <c r="B95" s="190" t="s">
        <v>175</v>
      </c>
      <c r="C95" s="547" t="s">
        <v>292</v>
      </c>
      <c r="D95" s="548"/>
      <c r="E95" s="548"/>
      <c r="F95" s="548"/>
      <c r="G95" s="549"/>
      <c r="I95" s="205"/>
    </row>
    <row r="96" spans="2:9" s="199" customFormat="1" ht="15.75" customHeight="1">
      <c r="B96" s="190" t="s">
        <v>176</v>
      </c>
      <c r="C96" s="547" t="s">
        <v>293</v>
      </c>
      <c r="D96" s="548"/>
      <c r="E96" s="548"/>
      <c r="F96" s="548"/>
      <c r="G96" s="549"/>
      <c r="H96" s="206"/>
      <c r="I96" s="200"/>
    </row>
    <row r="97" spans="2:9" s="199" customFormat="1" ht="15">
      <c r="B97" s="207" t="s">
        <v>12</v>
      </c>
      <c r="C97" s="558" t="s">
        <v>177</v>
      </c>
      <c r="D97" s="559"/>
      <c r="E97" s="559"/>
      <c r="F97" s="559"/>
      <c r="G97" s="560"/>
      <c r="I97" s="200"/>
    </row>
    <row r="98" spans="2:9" s="199" customFormat="1" ht="15" customHeight="1">
      <c r="B98" s="190" t="s">
        <v>14</v>
      </c>
      <c r="C98" s="561" t="s">
        <v>294</v>
      </c>
      <c r="D98" s="562"/>
      <c r="E98" s="562"/>
      <c r="F98" s="562"/>
      <c r="G98" s="563"/>
      <c r="H98" s="206"/>
      <c r="I98" s="200"/>
    </row>
    <row r="99" spans="2:9" s="199" customFormat="1" ht="15">
      <c r="B99" s="190" t="s">
        <v>15</v>
      </c>
      <c r="C99" s="561" t="s">
        <v>295</v>
      </c>
      <c r="D99" s="562"/>
      <c r="E99" s="562"/>
      <c r="F99" s="562"/>
      <c r="G99" s="563"/>
      <c r="H99" s="206"/>
      <c r="I99" s="200"/>
    </row>
    <row r="100" spans="2:9" s="199" customFormat="1" ht="16.5" customHeight="1">
      <c r="B100" s="190" t="s">
        <v>106</v>
      </c>
      <c r="C100" s="208" t="s">
        <v>296</v>
      </c>
      <c r="D100" s="209"/>
      <c r="E100" s="209"/>
      <c r="F100" s="210"/>
      <c r="G100" s="211"/>
      <c r="I100" s="200"/>
    </row>
    <row r="101" spans="2:9" s="199" customFormat="1" ht="15">
      <c r="B101" s="190" t="s">
        <v>178</v>
      </c>
      <c r="C101" s="561" t="s">
        <v>297</v>
      </c>
      <c r="D101" s="562"/>
      <c r="E101" s="562"/>
      <c r="F101" s="562"/>
      <c r="G101" s="563"/>
      <c r="I101" s="200"/>
    </row>
    <row r="102" spans="2:9" s="199" customFormat="1" ht="15">
      <c r="B102" s="207" t="s">
        <v>16</v>
      </c>
      <c r="C102" s="564" t="s">
        <v>62</v>
      </c>
      <c r="D102" s="565"/>
      <c r="E102" s="565"/>
      <c r="F102" s="565"/>
      <c r="G102" s="566"/>
      <c r="I102" s="200"/>
    </row>
    <row r="103" spans="2:9" s="199" customFormat="1" ht="15">
      <c r="B103" s="190" t="s">
        <v>60</v>
      </c>
      <c r="C103" s="567" t="s">
        <v>298</v>
      </c>
      <c r="D103" s="568"/>
      <c r="E103" s="568"/>
      <c r="F103" s="568"/>
      <c r="G103" s="569"/>
      <c r="I103" s="200"/>
    </row>
    <row r="104" spans="2:9" s="199" customFormat="1" ht="15">
      <c r="B104" s="190" t="s">
        <v>61</v>
      </c>
      <c r="C104" s="567" t="s">
        <v>299</v>
      </c>
      <c r="D104" s="568"/>
      <c r="E104" s="568"/>
      <c r="F104" s="568"/>
      <c r="G104" s="569"/>
      <c r="I104" s="200"/>
    </row>
    <row r="105" spans="2:9" s="199" customFormat="1" ht="15">
      <c r="B105" s="190" t="s">
        <v>63</v>
      </c>
      <c r="C105" s="567" t="s">
        <v>300</v>
      </c>
      <c r="D105" s="568"/>
      <c r="E105" s="568"/>
      <c r="F105" s="568"/>
      <c r="G105" s="569"/>
      <c r="I105" s="200"/>
    </row>
    <row r="106" spans="2:9" s="199" customFormat="1" ht="15">
      <c r="B106" s="190" t="s">
        <v>66</v>
      </c>
      <c r="C106" s="567" t="s">
        <v>301</v>
      </c>
      <c r="D106" s="568"/>
      <c r="E106" s="568"/>
      <c r="F106" s="568"/>
      <c r="G106" s="569"/>
      <c r="I106" s="200"/>
    </row>
    <row r="107" spans="2:9" s="199" customFormat="1" ht="17.25" customHeight="1">
      <c r="B107" s="190" t="s">
        <v>179</v>
      </c>
      <c r="C107" s="567" t="s">
        <v>302</v>
      </c>
      <c r="D107" s="568"/>
      <c r="E107" s="568"/>
      <c r="F107" s="568"/>
      <c r="G107" s="569"/>
      <c r="I107" s="200"/>
    </row>
    <row r="108" spans="2:9" s="199" customFormat="1" ht="15">
      <c r="B108" s="190" t="s">
        <v>180</v>
      </c>
      <c r="C108" s="567" t="s">
        <v>303</v>
      </c>
      <c r="D108" s="568"/>
      <c r="E108" s="568"/>
      <c r="F108" s="568"/>
      <c r="G108" s="569"/>
      <c r="I108" s="200"/>
    </row>
    <row r="109" spans="2:9" s="199" customFormat="1" ht="15">
      <c r="B109" s="190" t="s">
        <v>181</v>
      </c>
      <c r="C109" s="567" t="s">
        <v>304</v>
      </c>
      <c r="D109" s="568"/>
      <c r="E109" s="568"/>
      <c r="F109" s="568"/>
      <c r="G109" s="569"/>
      <c r="I109" s="200"/>
    </row>
    <row r="110" spans="2:9" s="199" customFormat="1" ht="15">
      <c r="B110" s="190" t="s">
        <v>182</v>
      </c>
      <c r="C110" s="567" t="s">
        <v>305</v>
      </c>
      <c r="D110" s="568"/>
      <c r="E110" s="568"/>
      <c r="F110" s="568"/>
      <c r="G110" s="569"/>
      <c r="I110" s="200"/>
    </row>
    <row r="111" spans="2:9" s="199" customFormat="1" ht="15">
      <c r="B111" s="190" t="s">
        <v>183</v>
      </c>
      <c r="C111" s="567" t="s">
        <v>306</v>
      </c>
      <c r="D111" s="568"/>
      <c r="E111" s="568"/>
      <c r="F111" s="568"/>
      <c r="G111" s="569"/>
      <c r="I111" s="200"/>
    </row>
    <row r="112" spans="2:9" s="199" customFormat="1" ht="15">
      <c r="B112" s="190" t="s">
        <v>184</v>
      </c>
      <c r="C112" s="567" t="s">
        <v>307</v>
      </c>
      <c r="D112" s="568"/>
      <c r="E112" s="568"/>
      <c r="F112" s="568"/>
      <c r="G112" s="569"/>
      <c r="I112" s="200"/>
    </row>
    <row r="113" spans="2:9" s="199" customFormat="1" ht="15">
      <c r="B113" s="190" t="s">
        <v>185</v>
      </c>
      <c r="C113" s="567" t="s">
        <v>308</v>
      </c>
      <c r="D113" s="568"/>
      <c r="E113" s="568"/>
      <c r="F113" s="568"/>
      <c r="G113" s="569"/>
      <c r="I113" s="200"/>
    </row>
    <row r="114" spans="2:9" s="199" customFormat="1" ht="15">
      <c r="B114" s="190" t="s">
        <v>186</v>
      </c>
      <c r="C114" s="567" t="s">
        <v>309</v>
      </c>
      <c r="D114" s="568"/>
      <c r="E114" s="568"/>
      <c r="F114" s="568"/>
      <c r="G114" s="569"/>
      <c r="I114" s="200"/>
    </row>
    <row r="115" spans="2:9" s="199" customFormat="1" ht="15">
      <c r="B115" s="190" t="s">
        <v>187</v>
      </c>
      <c r="C115" s="567" t="s">
        <v>310</v>
      </c>
      <c r="D115" s="568"/>
      <c r="E115" s="568"/>
      <c r="F115" s="568"/>
      <c r="G115" s="569"/>
      <c r="I115" s="200"/>
    </row>
    <row r="116" spans="2:9" s="199" customFormat="1" ht="15">
      <c r="B116" s="190" t="s">
        <v>188</v>
      </c>
      <c r="C116" s="567" t="s">
        <v>311</v>
      </c>
      <c r="D116" s="568"/>
      <c r="E116" s="568"/>
      <c r="F116" s="568"/>
      <c r="G116" s="569"/>
      <c r="I116" s="200"/>
    </row>
    <row r="117" spans="2:9" s="199" customFormat="1" ht="15">
      <c r="B117" s="190" t="s">
        <v>189</v>
      </c>
      <c r="C117" s="567" t="s">
        <v>312</v>
      </c>
      <c r="D117" s="568"/>
      <c r="E117" s="568"/>
      <c r="F117" s="568"/>
      <c r="G117" s="569"/>
      <c r="I117" s="200"/>
    </row>
    <row r="118" spans="2:9" s="199" customFormat="1" ht="18" customHeight="1">
      <c r="B118" s="190"/>
      <c r="C118" s="212" t="s">
        <v>313</v>
      </c>
      <c r="D118" s="213"/>
      <c r="E118" s="213"/>
      <c r="F118" s="214"/>
      <c r="G118" s="215"/>
      <c r="I118" s="200"/>
    </row>
    <row r="119" spans="2:9" s="199" customFormat="1" ht="15">
      <c r="B119" s="190" t="s">
        <v>190</v>
      </c>
      <c r="C119" s="567" t="s">
        <v>314</v>
      </c>
      <c r="D119" s="568"/>
      <c r="E119" s="568"/>
      <c r="F119" s="568"/>
      <c r="G119" s="569"/>
      <c r="I119" s="200"/>
    </row>
    <row r="120" spans="2:9" s="199" customFormat="1" ht="15">
      <c r="B120" s="190" t="s">
        <v>191</v>
      </c>
      <c r="C120" s="567" t="s">
        <v>315</v>
      </c>
      <c r="D120" s="568"/>
      <c r="E120" s="568"/>
      <c r="F120" s="568"/>
      <c r="G120" s="569"/>
      <c r="I120" s="200"/>
    </row>
    <row r="121" spans="2:9" s="199" customFormat="1" ht="15">
      <c r="B121" s="190" t="s">
        <v>192</v>
      </c>
      <c r="C121" s="567" t="s">
        <v>316</v>
      </c>
      <c r="D121" s="568"/>
      <c r="E121" s="568"/>
      <c r="F121" s="568"/>
      <c r="G121" s="569"/>
      <c r="I121" s="200"/>
    </row>
    <row r="122" spans="2:9" s="199" customFormat="1" ht="15">
      <c r="B122" s="190" t="s">
        <v>193</v>
      </c>
      <c r="C122" s="567" t="s">
        <v>317</v>
      </c>
      <c r="D122" s="568"/>
      <c r="E122" s="568"/>
      <c r="F122" s="568"/>
      <c r="G122" s="569"/>
      <c r="I122" s="200"/>
    </row>
    <row r="123" spans="2:9" s="199" customFormat="1" ht="15">
      <c r="B123" s="190" t="s">
        <v>194</v>
      </c>
      <c r="C123" s="212" t="s">
        <v>318</v>
      </c>
      <c r="D123" s="213"/>
      <c r="E123" s="213"/>
      <c r="F123" s="214"/>
      <c r="G123" s="215"/>
      <c r="I123" s="200"/>
    </row>
    <row r="124" spans="2:9" s="199" customFormat="1" ht="15">
      <c r="B124" s="207" t="s">
        <v>17</v>
      </c>
      <c r="C124" s="564" t="s">
        <v>195</v>
      </c>
      <c r="D124" s="565"/>
      <c r="E124" s="565"/>
      <c r="F124" s="565"/>
      <c r="G124" s="566"/>
      <c r="I124" s="200"/>
    </row>
    <row r="125" spans="2:9" s="199" customFormat="1" ht="15">
      <c r="B125" s="190" t="s">
        <v>19</v>
      </c>
      <c r="C125" s="561" t="s">
        <v>319</v>
      </c>
      <c r="D125" s="562"/>
      <c r="E125" s="562"/>
      <c r="F125" s="562"/>
      <c r="G125" s="563"/>
      <c r="I125" s="200"/>
    </row>
    <row r="126" spans="2:9" s="199" customFormat="1" ht="15">
      <c r="B126" s="190" t="s">
        <v>20</v>
      </c>
      <c r="C126" s="561" t="s">
        <v>320</v>
      </c>
      <c r="D126" s="562"/>
      <c r="E126" s="562"/>
      <c r="F126" s="562"/>
      <c r="G126" s="563"/>
      <c r="I126" s="200"/>
    </row>
    <row r="127" spans="2:9" s="199" customFormat="1" ht="15">
      <c r="B127" s="190" t="s">
        <v>28</v>
      </c>
      <c r="C127" s="561" t="s">
        <v>321</v>
      </c>
      <c r="D127" s="562"/>
      <c r="E127" s="562"/>
      <c r="F127" s="562"/>
      <c r="G127" s="563"/>
      <c r="I127" s="200"/>
    </row>
    <row r="128" spans="2:9" s="199" customFormat="1" ht="15">
      <c r="B128" s="190" t="s">
        <v>29</v>
      </c>
      <c r="C128" s="561" t="s">
        <v>322</v>
      </c>
      <c r="D128" s="562"/>
      <c r="E128" s="562"/>
      <c r="F128" s="562"/>
      <c r="G128" s="563"/>
      <c r="I128" s="200"/>
    </row>
    <row r="129" spans="2:9" s="199" customFormat="1" ht="15">
      <c r="B129" s="190" t="s">
        <v>30</v>
      </c>
      <c r="C129" s="561" t="s">
        <v>323</v>
      </c>
      <c r="D129" s="562"/>
      <c r="E129" s="562"/>
      <c r="F129" s="562"/>
      <c r="G129" s="563"/>
      <c r="I129" s="200"/>
    </row>
    <row r="130" spans="2:9" s="199" customFormat="1" ht="15">
      <c r="B130" s="190" t="s">
        <v>64</v>
      </c>
      <c r="C130" s="561" t="s">
        <v>324</v>
      </c>
      <c r="D130" s="562"/>
      <c r="E130" s="562"/>
      <c r="F130" s="562"/>
      <c r="G130" s="563"/>
      <c r="I130" s="200"/>
    </row>
    <row r="131" spans="2:9" s="199" customFormat="1" ht="15">
      <c r="B131" s="190" t="s">
        <v>65</v>
      </c>
      <c r="C131" s="561" t="s">
        <v>325</v>
      </c>
      <c r="D131" s="562"/>
      <c r="E131" s="562"/>
      <c r="F131" s="562"/>
      <c r="G131" s="563"/>
      <c r="I131" s="200"/>
    </row>
    <row r="132" spans="2:9" s="199" customFormat="1" ht="15">
      <c r="B132" s="190" t="s">
        <v>107</v>
      </c>
      <c r="C132" s="561" t="s">
        <v>326</v>
      </c>
      <c r="D132" s="562"/>
      <c r="E132" s="562"/>
      <c r="F132" s="562"/>
      <c r="G132" s="563"/>
      <c r="I132" s="200"/>
    </row>
    <row r="133" spans="2:9" s="199" customFormat="1" ht="15">
      <c r="B133" s="190" t="s">
        <v>108</v>
      </c>
      <c r="C133" s="561" t="s">
        <v>327</v>
      </c>
      <c r="D133" s="562"/>
      <c r="E133" s="562"/>
      <c r="F133" s="562"/>
      <c r="G133" s="563"/>
      <c r="I133" s="200"/>
    </row>
    <row r="134" spans="2:9" s="199" customFormat="1" ht="15">
      <c r="B134" s="190" t="s">
        <v>109</v>
      </c>
      <c r="C134" s="561" t="s">
        <v>328</v>
      </c>
      <c r="D134" s="562"/>
      <c r="E134" s="562"/>
      <c r="F134" s="562"/>
      <c r="G134" s="563"/>
      <c r="I134" s="200"/>
    </row>
    <row r="135" spans="2:9" s="199" customFormat="1" ht="15">
      <c r="B135" s="190" t="s">
        <v>196</v>
      </c>
      <c r="C135" s="561" t="s">
        <v>329</v>
      </c>
      <c r="D135" s="562"/>
      <c r="E135" s="562"/>
      <c r="F135" s="562"/>
      <c r="G135" s="563"/>
      <c r="I135" s="200"/>
    </row>
    <row r="136" spans="2:9" s="199" customFormat="1" ht="15">
      <c r="B136" s="190" t="s">
        <v>197</v>
      </c>
      <c r="C136" s="561" t="s">
        <v>330</v>
      </c>
      <c r="D136" s="562"/>
      <c r="E136" s="562"/>
      <c r="F136" s="562"/>
      <c r="G136" s="563"/>
      <c r="I136" s="200"/>
    </row>
    <row r="137" spans="2:9" s="199" customFormat="1" ht="15" customHeight="1">
      <c r="B137" s="190" t="s">
        <v>198</v>
      </c>
      <c r="C137" s="561" t="s">
        <v>331</v>
      </c>
      <c r="D137" s="562"/>
      <c r="E137" s="562"/>
      <c r="F137" s="562"/>
      <c r="G137" s="563"/>
      <c r="I137" s="200"/>
    </row>
    <row r="138" spans="2:9" s="199" customFormat="1" ht="15">
      <c r="B138" s="190" t="s">
        <v>199</v>
      </c>
      <c r="C138" s="561" t="s">
        <v>332</v>
      </c>
      <c r="D138" s="562"/>
      <c r="E138" s="562"/>
      <c r="F138" s="562"/>
      <c r="G138" s="563"/>
      <c r="I138" s="200"/>
    </row>
    <row r="139" spans="2:9" s="199" customFormat="1" ht="15">
      <c r="B139" s="190" t="s">
        <v>200</v>
      </c>
      <c r="C139" s="561" t="s">
        <v>333</v>
      </c>
      <c r="D139" s="562"/>
      <c r="E139" s="562"/>
      <c r="F139" s="562"/>
      <c r="G139" s="563"/>
      <c r="I139" s="200"/>
    </row>
    <row r="140" spans="2:9" s="199" customFormat="1" ht="15">
      <c r="B140" s="190" t="s">
        <v>201</v>
      </c>
      <c r="C140" s="561" t="s">
        <v>334</v>
      </c>
      <c r="D140" s="562"/>
      <c r="E140" s="562"/>
      <c r="F140" s="562"/>
      <c r="G140" s="563"/>
      <c r="I140" s="200"/>
    </row>
    <row r="141" spans="2:9" s="199" customFormat="1" ht="15">
      <c r="B141" s="190" t="s">
        <v>202</v>
      </c>
      <c r="C141" s="561" t="s">
        <v>335</v>
      </c>
      <c r="D141" s="562"/>
      <c r="E141" s="562"/>
      <c r="F141" s="562"/>
      <c r="G141" s="563"/>
      <c r="I141" s="200"/>
    </row>
    <row r="142" spans="2:9" s="199" customFormat="1" ht="15">
      <c r="B142" s="190" t="s">
        <v>203</v>
      </c>
      <c r="C142" s="208" t="s">
        <v>336</v>
      </c>
      <c r="D142" s="209"/>
      <c r="E142" s="209"/>
      <c r="F142" s="210"/>
      <c r="G142" s="211"/>
      <c r="I142" s="200"/>
    </row>
    <row r="143" spans="2:9" s="199" customFormat="1" ht="15">
      <c r="B143" s="207" t="s">
        <v>21</v>
      </c>
      <c r="C143" s="564" t="s">
        <v>24</v>
      </c>
      <c r="D143" s="565"/>
      <c r="E143" s="565"/>
      <c r="F143" s="565"/>
      <c r="G143" s="566"/>
      <c r="I143" s="216"/>
    </row>
    <row r="144" spans="2:9" s="199" customFormat="1" ht="15">
      <c r="B144" s="190" t="s">
        <v>23</v>
      </c>
      <c r="C144" s="561" t="s">
        <v>204</v>
      </c>
      <c r="D144" s="565"/>
      <c r="E144" s="565"/>
      <c r="F144" s="565"/>
      <c r="G144" s="566"/>
      <c r="I144" s="216"/>
    </row>
    <row r="145" spans="2:9" s="199" customFormat="1" ht="15">
      <c r="B145" s="207"/>
      <c r="C145" s="217" t="s">
        <v>205</v>
      </c>
      <c r="D145" s="218">
        <f>312.73*2</f>
        <v>625.46</v>
      </c>
      <c r="E145" s="219" t="s">
        <v>0</v>
      </c>
      <c r="F145" s="220"/>
      <c r="G145" s="220"/>
      <c r="I145" s="216"/>
    </row>
    <row r="146" spans="2:9" s="199" customFormat="1" ht="15">
      <c r="B146" s="207"/>
      <c r="C146" s="221"/>
      <c r="D146" s="222"/>
      <c r="E146" s="219"/>
      <c r="F146" s="220"/>
      <c r="G146" s="220"/>
      <c r="I146" s="216"/>
    </row>
    <row r="147" spans="2:9" s="199" customFormat="1" ht="15">
      <c r="B147" s="190" t="s">
        <v>54</v>
      </c>
      <c r="C147" s="561" t="s">
        <v>206</v>
      </c>
      <c r="D147" s="565"/>
      <c r="E147" s="565"/>
      <c r="F147" s="565"/>
      <c r="G147" s="566"/>
      <c r="I147" s="200"/>
    </row>
    <row r="148" spans="2:9" s="199" customFormat="1" ht="15">
      <c r="B148" s="207"/>
      <c r="C148" s="223" t="s">
        <v>151</v>
      </c>
      <c r="D148" s="224">
        <v>12.25</v>
      </c>
      <c r="E148" s="219"/>
      <c r="F148" s="220"/>
      <c r="G148" s="220"/>
      <c r="I148" s="216"/>
    </row>
    <row r="149" spans="2:9" s="199" customFormat="1" ht="15">
      <c r="B149" s="207"/>
      <c r="C149" s="223" t="s">
        <v>152</v>
      </c>
      <c r="D149" s="224">
        <v>40.91</v>
      </c>
      <c r="E149" s="219"/>
      <c r="F149" s="220"/>
      <c r="G149" s="220"/>
      <c r="I149" s="216"/>
    </row>
    <row r="150" spans="2:9" s="199" customFormat="1" ht="15">
      <c r="B150" s="207"/>
      <c r="C150" s="223" t="s">
        <v>153</v>
      </c>
      <c r="D150" s="224">
        <v>9.4</v>
      </c>
      <c r="E150" s="219"/>
      <c r="F150" s="220"/>
      <c r="G150" s="220"/>
      <c r="I150" s="216"/>
    </row>
    <row r="151" spans="2:9" s="199" customFormat="1" ht="15">
      <c r="B151" s="207"/>
      <c r="C151" s="223" t="s">
        <v>154</v>
      </c>
      <c r="D151" s="224">
        <v>4.4</v>
      </c>
      <c r="E151" s="219"/>
      <c r="F151" s="220"/>
      <c r="G151" s="220"/>
      <c r="I151" s="216"/>
    </row>
    <row r="152" spans="2:9" s="199" customFormat="1" ht="15">
      <c r="B152" s="207"/>
      <c r="C152" s="223" t="s">
        <v>154</v>
      </c>
      <c r="D152" s="224">
        <v>4.4</v>
      </c>
      <c r="E152" s="219"/>
      <c r="F152" s="220"/>
      <c r="G152" s="220"/>
      <c r="I152" s="216"/>
    </row>
    <row r="153" spans="2:9" s="199" customFormat="1" ht="15">
      <c r="B153" s="207"/>
      <c r="C153" s="223" t="s">
        <v>155</v>
      </c>
      <c r="D153" s="224">
        <v>4.18</v>
      </c>
      <c r="E153" s="219"/>
      <c r="F153" s="220"/>
      <c r="G153" s="220"/>
      <c r="I153" s="216"/>
    </row>
    <row r="154" spans="2:9" s="199" customFormat="1" ht="15">
      <c r="B154" s="207"/>
      <c r="C154" s="223" t="s">
        <v>156</v>
      </c>
      <c r="D154" s="225">
        <v>5.92</v>
      </c>
      <c r="E154" s="219"/>
      <c r="F154" s="220"/>
      <c r="G154" s="220"/>
      <c r="I154" s="216"/>
    </row>
    <row r="155" spans="2:9" s="199" customFormat="1" ht="15">
      <c r="B155" s="207"/>
      <c r="C155" s="223" t="s">
        <v>157</v>
      </c>
      <c r="D155" s="224">
        <v>23.2</v>
      </c>
      <c r="E155" s="219"/>
      <c r="F155" s="220"/>
      <c r="G155" s="226"/>
      <c r="I155" s="216"/>
    </row>
    <row r="156" spans="2:9" s="199" customFormat="1" ht="15">
      <c r="B156" s="207"/>
      <c r="C156" s="223" t="s">
        <v>158</v>
      </c>
      <c r="D156" s="224">
        <v>28.57</v>
      </c>
      <c r="E156" s="220"/>
      <c r="F156" s="220"/>
      <c r="G156" s="226"/>
      <c r="I156" s="216"/>
    </row>
    <row r="157" spans="2:9" s="199" customFormat="1" ht="15">
      <c r="B157" s="207"/>
      <c r="C157" s="223" t="s">
        <v>159</v>
      </c>
      <c r="D157" s="224">
        <v>10.55</v>
      </c>
      <c r="E157" s="220"/>
      <c r="F157" s="220"/>
      <c r="G157" s="220"/>
      <c r="I157" s="216"/>
    </row>
    <row r="158" spans="2:9" s="199" customFormat="1" ht="15">
      <c r="B158" s="207"/>
      <c r="C158" s="227" t="s">
        <v>31</v>
      </c>
      <c r="D158" s="228">
        <f>SUM(D148:D157)</f>
        <v>143.78</v>
      </c>
      <c r="E158" s="219" t="s">
        <v>0</v>
      </c>
      <c r="F158" s="220"/>
      <c r="G158" s="220"/>
      <c r="I158" s="216"/>
    </row>
    <row r="159" spans="1:9" s="199" customFormat="1" ht="15">
      <c r="A159" s="229"/>
      <c r="B159" s="230"/>
      <c r="C159" s="230"/>
      <c r="D159" s="225"/>
      <c r="E159" s="225"/>
      <c r="F159" s="230"/>
      <c r="G159" s="230"/>
      <c r="H159" s="229"/>
      <c r="I159" s="200"/>
    </row>
    <row r="160" spans="2:9" s="199" customFormat="1" ht="15">
      <c r="B160" s="190" t="s">
        <v>123</v>
      </c>
      <c r="C160" s="561" t="s">
        <v>207</v>
      </c>
      <c r="D160" s="562"/>
      <c r="E160" s="562"/>
      <c r="F160" s="562"/>
      <c r="G160" s="563"/>
      <c r="I160" s="200"/>
    </row>
    <row r="161" spans="1:9" s="199" customFormat="1" ht="15">
      <c r="A161" s="229"/>
      <c r="B161" s="230"/>
      <c r="C161" s="223" t="s">
        <v>208</v>
      </c>
      <c r="D161" s="225">
        <f>(2+2+2.2+2.2)*3</f>
        <v>25.200000000000003</v>
      </c>
      <c r="E161" s="225"/>
      <c r="F161" s="230"/>
      <c r="G161" s="230"/>
      <c r="H161" s="229"/>
      <c r="I161" s="200"/>
    </row>
    <row r="162" spans="1:9" s="199" customFormat="1" ht="15">
      <c r="A162" s="229"/>
      <c r="B162" s="230"/>
      <c r="C162" s="223" t="s">
        <v>208</v>
      </c>
      <c r="D162" s="225">
        <f>(2+2+2.2+2.2)*3</f>
        <v>25.200000000000003</v>
      </c>
      <c r="E162" s="225"/>
      <c r="F162" s="230"/>
      <c r="G162" s="230"/>
      <c r="H162" s="229"/>
      <c r="I162" s="200"/>
    </row>
    <row r="163" spans="1:9" s="199" customFormat="1" ht="15">
      <c r="A163" s="229"/>
      <c r="B163" s="230"/>
      <c r="C163" s="223" t="s">
        <v>209</v>
      </c>
      <c r="D163" s="225">
        <f>(2+2.3+1.1+1.41+1.39)*3</f>
        <v>24.6</v>
      </c>
      <c r="E163" s="225"/>
      <c r="F163" s="230"/>
      <c r="G163" s="230"/>
      <c r="H163" s="229"/>
      <c r="I163" s="200"/>
    </row>
    <row r="164" spans="1:9" s="199" customFormat="1" ht="15">
      <c r="A164" s="229"/>
      <c r="B164" s="230"/>
      <c r="C164" s="223" t="s">
        <v>210</v>
      </c>
      <c r="D164" s="225">
        <f>2.87*0.75</f>
        <v>2.1525</v>
      </c>
      <c r="E164" s="225"/>
      <c r="F164" s="230"/>
      <c r="G164" s="230"/>
      <c r="H164" s="229"/>
      <c r="I164" s="200"/>
    </row>
    <row r="165" spans="1:9" s="199" customFormat="1" ht="15">
      <c r="A165" s="229"/>
      <c r="B165" s="230"/>
      <c r="C165" s="231" t="s">
        <v>31</v>
      </c>
      <c r="D165" s="232">
        <f>SUM(D161:D164)</f>
        <v>77.1525</v>
      </c>
      <c r="E165" s="219" t="s">
        <v>0</v>
      </c>
      <c r="F165" s="230"/>
      <c r="G165" s="230"/>
      <c r="H165" s="229"/>
      <c r="I165" s="200"/>
    </row>
    <row r="166" spans="2:9" s="199" customFormat="1" ht="15">
      <c r="B166" s="190" t="s">
        <v>121</v>
      </c>
      <c r="C166" s="570" t="s">
        <v>211</v>
      </c>
      <c r="D166" s="570"/>
      <c r="E166" s="570"/>
      <c r="F166" s="570"/>
      <c r="G166" s="570"/>
      <c r="I166" s="200"/>
    </row>
    <row r="167" spans="2:9" s="199" customFormat="1" ht="15">
      <c r="B167" s="190"/>
      <c r="C167" s="208" t="s">
        <v>212</v>
      </c>
      <c r="D167" s="210"/>
      <c r="E167" s="210"/>
      <c r="F167" s="210"/>
      <c r="G167" s="211"/>
      <c r="I167" s="200"/>
    </row>
    <row r="168" spans="2:9" s="199" customFormat="1" ht="15">
      <c r="B168" s="190"/>
      <c r="C168" s="227" t="s">
        <v>31</v>
      </c>
      <c r="D168" s="233">
        <f>D145-D165</f>
        <v>548.3075</v>
      </c>
      <c r="E168" s="219" t="s">
        <v>0</v>
      </c>
      <c r="F168" s="210"/>
      <c r="G168" s="211"/>
      <c r="I168" s="200"/>
    </row>
    <row r="169" spans="2:9" s="199" customFormat="1" ht="15">
      <c r="B169" s="190"/>
      <c r="C169" s="208"/>
      <c r="D169" s="210"/>
      <c r="E169" s="210"/>
      <c r="F169" s="210"/>
      <c r="G169" s="211"/>
      <c r="I169" s="200"/>
    </row>
    <row r="170" spans="2:9" s="199" customFormat="1" ht="15">
      <c r="B170" s="190" t="s">
        <v>122</v>
      </c>
      <c r="C170" s="561" t="s">
        <v>213</v>
      </c>
      <c r="D170" s="565"/>
      <c r="E170" s="565"/>
      <c r="F170" s="565"/>
      <c r="G170" s="566"/>
      <c r="I170" s="200"/>
    </row>
    <row r="171" spans="2:9" s="199" customFormat="1" ht="15">
      <c r="B171" s="190"/>
      <c r="C171" s="223" t="s">
        <v>151</v>
      </c>
      <c r="D171" s="224">
        <v>12.25</v>
      </c>
      <c r="E171" s="219"/>
      <c r="F171" s="234"/>
      <c r="G171" s="226"/>
      <c r="I171" s="200"/>
    </row>
    <row r="172" spans="2:9" s="199" customFormat="1" ht="15">
      <c r="B172" s="190"/>
      <c r="C172" s="223" t="s">
        <v>152</v>
      </c>
      <c r="D172" s="224">
        <v>40.91</v>
      </c>
      <c r="E172" s="219"/>
      <c r="F172" s="234"/>
      <c r="G172" s="226"/>
      <c r="I172" s="200"/>
    </row>
    <row r="173" spans="2:9" s="199" customFormat="1" ht="15">
      <c r="B173" s="190"/>
      <c r="C173" s="223" t="s">
        <v>153</v>
      </c>
      <c r="D173" s="224">
        <v>9.4</v>
      </c>
      <c r="E173" s="219"/>
      <c r="F173" s="234"/>
      <c r="G173" s="226"/>
      <c r="I173" s="200"/>
    </row>
    <row r="174" spans="2:9" s="199" customFormat="1" ht="15">
      <c r="B174" s="190"/>
      <c r="C174" s="223" t="s">
        <v>154</v>
      </c>
      <c r="D174" s="224">
        <v>4.4</v>
      </c>
      <c r="E174" s="219"/>
      <c r="F174" s="234"/>
      <c r="G174" s="226"/>
      <c r="I174" s="200"/>
    </row>
    <row r="175" spans="2:9" s="199" customFormat="1" ht="15">
      <c r="B175" s="190"/>
      <c r="C175" s="223" t="s">
        <v>154</v>
      </c>
      <c r="D175" s="224">
        <v>4.4</v>
      </c>
      <c r="E175" s="219"/>
      <c r="F175" s="234"/>
      <c r="G175" s="226"/>
      <c r="I175" s="200"/>
    </row>
    <row r="176" spans="2:9" s="199" customFormat="1" ht="15">
      <c r="B176" s="190"/>
      <c r="C176" s="223" t="s">
        <v>155</v>
      </c>
      <c r="D176" s="224">
        <v>4.18</v>
      </c>
      <c r="E176" s="219"/>
      <c r="F176" s="234"/>
      <c r="G176" s="226"/>
      <c r="I176" s="200"/>
    </row>
    <row r="177" spans="2:9" s="199" customFormat="1" ht="15">
      <c r="B177" s="190"/>
      <c r="C177" s="223" t="s">
        <v>156</v>
      </c>
      <c r="D177" s="225">
        <v>5.92</v>
      </c>
      <c r="E177" s="219"/>
      <c r="F177" s="234"/>
      <c r="G177" s="226"/>
      <c r="I177" s="200"/>
    </row>
    <row r="178" spans="2:9" s="199" customFormat="1" ht="15">
      <c r="B178" s="190"/>
      <c r="C178" s="223" t="s">
        <v>157</v>
      </c>
      <c r="D178" s="224">
        <v>23.2</v>
      </c>
      <c r="E178" s="219"/>
      <c r="F178" s="234"/>
      <c r="G178" s="226"/>
      <c r="I178" s="200"/>
    </row>
    <row r="179" spans="2:9" s="199" customFormat="1" ht="15">
      <c r="B179" s="190"/>
      <c r="C179" s="223" t="s">
        <v>158</v>
      </c>
      <c r="D179" s="224">
        <v>28.57</v>
      </c>
      <c r="E179" s="220"/>
      <c r="F179" s="234"/>
      <c r="G179" s="226"/>
      <c r="I179" s="200"/>
    </row>
    <row r="180" spans="2:9" s="199" customFormat="1" ht="15">
      <c r="B180" s="190"/>
      <c r="C180" s="223" t="s">
        <v>159</v>
      </c>
      <c r="D180" s="224">
        <v>10.55</v>
      </c>
      <c r="E180" s="220"/>
      <c r="F180" s="234"/>
      <c r="G180" s="226"/>
      <c r="I180" s="200"/>
    </row>
    <row r="181" spans="2:9" s="199" customFormat="1" ht="15">
      <c r="B181" s="190"/>
      <c r="C181" s="227" t="s">
        <v>31</v>
      </c>
      <c r="D181" s="228">
        <f>SUM(D171:D180)</f>
        <v>143.78</v>
      </c>
      <c r="E181" s="219" t="s">
        <v>0</v>
      </c>
      <c r="F181" s="210"/>
      <c r="G181" s="211"/>
      <c r="I181" s="200"/>
    </row>
    <row r="182" spans="2:9" s="199" customFormat="1" ht="15">
      <c r="B182" s="190"/>
      <c r="C182" s="208"/>
      <c r="D182" s="210"/>
      <c r="E182" s="210"/>
      <c r="F182" s="210"/>
      <c r="G182" s="211"/>
      <c r="I182" s="200"/>
    </row>
    <row r="183" spans="2:9" s="199" customFormat="1" ht="15">
      <c r="B183" s="190"/>
      <c r="C183" s="208"/>
      <c r="D183" s="210"/>
      <c r="E183" s="210"/>
      <c r="F183" s="210"/>
      <c r="G183" s="211"/>
      <c r="I183" s="200"/>
    </row>
    <row r="184" spans="2:9" s="199" customFormat="1" ht="15">
      <c r="B184" s="190" t="s">
        <v>124</v>
      </c>
      <c r="C184" s="561" t="s">
        <v>214</v>
      </c>
      <c r="D184" s="562"/>
      <c r="E184" s="562"/>
      <c r="F184" s="562"/>
      <c r="G184" s="563"/>
      <c r="I184" s="200"/>
    </row>
    <row r="185" spans="2:9" s="199" customFormat="1" ht="15">
      <c r="B185" s="190"/>
      <c r="C185" s="223" t="s">
        <v>208</v>
      </c>
      <c r="D185" s="225">
        <f>(2+2+2.2+2.2)*3</f>
        <v>25.200000000000003</v>
      </c>
      <c r="E185" s="219"/>
      <c r="F185" s="219"/>
      <c r="G185" s="219"/>
      <c r="I185" s="200"/>
    </row>
    <row r="186" spans="2:9" s="199" customFormat="1" ht="15">
      <c r="B186" s="190"/>
      <c r="C186" s="223" t="s">
        <v>208</v>
      </c>
      <c r="D186" s="225">
        <f>(2+2+2.2+2.2)*3</f>
        <v>25.200000000000003</v>
      </c>
      <c r="E186" s="219"/>
      <c r="F186" s="219"/>
      <c r="G186" s="219"/>
      <c r="I186" s="200"/>
    </row>
    <row r="187" spans="1:9" s="199" customFormat="1" ht="15">
      <c r="A187" s="229"/>
      <c r="B187" s="230"/>
      <c r="C187" s="223" t="s">
        <v>209</v>
      </c>
      <c r="D187" s="225">
        <f>(2+2.3+1.1+1.41+1.39)*3</f>
        <v>24.6</v>
      </c>
      <c r="E187" s="225"/>
      <c r="F187" s="230"/>
      <c r="G187" s="230"/>
      <c r="H187" s="229"/>
      <c r="I187" s="200"/>
    </row>
    <row r="188" spans="1:9" s="199" customFormat="1" ht="15">
      <c r="A188" s="229"/>
      <c r="B188" s="230"/>
      <c r="C188" s="223" t="s">
        <v>210</v>
      </c>
      <c r="D188" s="225">
        <f>2.87*0.75</f>
        <v>2.1525</v>
      </c>
      <c r="E188" s="225"/>
      <c r="F188" s="230"/>
      <c r="G188" s="230"/>
      <c r="H188" s="229"/>
      <c r="I188" s="200"/>
    </row>
    <row r="189" spans="1:9" s="199" customFormat="1" ht="15">
      <c r="A189" s="229"/>
      <c r="B189" s="230"/>
      <c r="C189" s="231" t="s">
        <v>31</v>
      </c>
      <c r="D189" s="232">
        <f>SUM(D185:D188)</f>
        <v>77.1525</v>
      </c>
      <c r="E189" s="219" t="s">
        <v>0</v>
      </c>
      <c r="F189" s="230"/>
      <c r="G189" s="230"/>
      <c r="H189" s="229"/>
      <c r="I189" s="200"/>
    </row>
    <row r="190" spans="2:9" s="199" customFormat="1" ht="15">
      <c r="B190" s="207" t="s">
        <v>39</v>
      </c>
      <c r="C190" s="564" t="s">
        <v>18</v>
      </c>
      <c r="D190" s="565"/>
      <c r="E190" s="565"/>
      <c r="F190" s="565"/>
      <c r="G190" s="566"/>
      <c r="I190" s="200"/>
    </row>
    <row r="191" spans="2:9" s="199" customFormat="1" ht="15">
      <c r="B191" s="190" t="s">
        <v>40</v>
      </c>
      <c r="C191" s="561" t="s">
        <v>215</v>
      </c>
      <c r="D191" s="562"/>
      <c r="E191" s="562"/>
      <c r="F191" s="562"/>
      <c r="G191" s="563"/>
      <c r="I191" s="200"/>
    </row>
    <row r="192" spans="2:9" s="199" customFormat="1" ht="15">
      <c r="B192" s="190"/>
      <c r="C192" s="235" t="s">
        <v>216</v>
      </c>
      <c r="D192" s="228">
        <v>143.78</v>
      </c>
      <c r="E192" s="219" t="s">
        <v>0</v>
      </c>
      <c r="F192" s="210"/>
      <c r="G192" s="211"/>
      <c r="I192" s="200"/>
    </row>
    <row r="193" spans="2:9" s="199" customFormat="1" ht="15">
      <c r="B193" s="190"/>
      <c r="C193" s="208"/>
      <c r="D193" s="210"/>
      <c r="E193" s="210"/>
      <c r="F193" s="210"/>
      <c r="G193" s="211"/>
      <c r="I193" s="200"/>
    </row>
    <row r="194" spans="2:9" s="199" customFormat="1" ht="15">
      <c r="B194" s="190" t="s">
        <v>125</v>
      </c>
      <c r="C194" s="561" t="s">
        <v>217</v>
      </c>
      <c r="D194" s="562"/>
      <c r="E194" s="562"/>
      <c r="F194" s="562"/>
      <c r="G194" s="563"/>
      <c r="I194" s="200"/>
    </row>
    <row r="195" spans="2:9" s="199" customFormat="1" ht="15">
      <c r="B195" s="236"/>
      <c r="C195" s="235" t="s">
        <v>216</v>
      </c>
      <c r="D195" s="228">
        <v>143.78</v>
      </c>
      <c r="E195" s="219" t="s">
        <v>0</v>
      </c>
      <c r="F195" s="210"/>
      <c r="G195" s="211"/>
      <c r="I195" s="200"/>
    </row>
    <row r="196" spans="2:9" s="199" customFormat="1" ht="15">
      <c r="B196" s="236"/>
      <c r="C196" s="208"/>
      <c r="D196" s="210"/>
      <c r="E196" s="210"/>
      <c r="F196" s="210"/>
      <c r="G196" s="211"/>
      <c r="I196" s="200"/>
    </row>
    <row r="197" spans="2:9" s="199" customFormat="1" ht="15">
      <c r="B197" s="237" t="s">
        <v>126</v>
      </c>
      <c r="C197" s="208" t="s">
        <v>218</v>
      </c>
      <c r="D197" s="209"/>
      <c r="E197" s="209"/>
      <c r="F197" s="210"/>
      <c r="G197" s="211"/>
      <c r="I197" s="200"/>
    </row>
    <row r="198" spans="2:9" s="199" customFormat="1" ht="15" customHeight="1">
      <c r="B198" s="237"/>
      <c r="C198" s="238" t="s">
        <v>219</v>
      </c>
      <c r="D198" s="239" t="s">
        <v>220</v>
      </c>
      <c r="E198" s="240"/>
      <c r="F198" s="240"/>
      <c r="G198" s="241"/>
      <c r="I198" s="200"/>
    </row>
    <row r="199" spans="2:9" s="199" customFormat="1" ht="15" customHeight="1">
      <c r="B199" s="242"/>
      <c r="C199" s="243" t="s">
        <v>151</v>
      </c>
      <c r="D199" s="200">
        <v>14</v>
      </c>
      <c r="E199" s="239"/>
      <c r="F199" s="239"/>
      <c r="G199" s="244"/>
      <c r="I199" s="200"/>
    </row>
    <row r="200" spans="2:9" s="199" customFormat="1" ht="15" customHeight="1">
      <c r="B200" s="242"/>
      <c r="C200" s="243" t="s">
        <v>221</v>
      </c>
      <c r="D200" s="200">
        <v>33.74</v>
      </c>
      <c r="E200" s="239"/>
      <c r="F200" s="239"/>
      <c r="G200" s="244"/>
      <c r="I200" s="200"/>
    </row>
    <row r="201" spans="2:9" s="199" customFormat="1" ht="15" customHeight="1">
      <c r="B201" s="242"/>
      <c r="C201" s="243" t="s">
        <v>156</v>
      </c>
      <c r="D201" s="245">
        <v>10.37</v>
      </c>
      <c r="E201" s="239"/>
      <c r="F201" s="239"/>
      <c r="G201" s="244"/>
      <c r="I201" s="200"/>
    </row>
    <row r="202" spans="2:9" s="199" customFormat="1" ht="15" customHeight="1">
      <c r="B202" s="242"/>
      <c r="C202" s="243" t="s">
        <v>157</v>
      </c>
      <c r="D202" s="245">
        <v>20.27</v>
      </c>
      <c r="E202" s="239"/>
      <c r="F202" s="239"/>
      <c r="G202" s="244"/>
      <c r="I202" s="200"/>
    </row>
    <row r="203" spans="2:9" s="199" customFormat="1" ht="15" customHeight="1">
      <c r="B203" s="242"/>
      <c r="C203" s="243" t="s">
        <v>158</v>
      </c>
      <c r="D203" s="245">
        <v>22.4</v>
      </c>
      <c r="E203" s="239"/>
      <c r="F203" s="239"/>
      <c r="G203" s="244"/>
      <c r="I203" s="200"/>
    </row>
    <row r="204" spans="2:9" s="199" customFormat="1" ht="15" customHeight="1">
      <c r="B204" s="242"/>
      <c r="C204" s="243" t="s">
        <v>159</v>
      </c>
      <c r="D204" s="245">
        <v>12.58</v>
      </c>
      <c r="E204" s="239"/>
      <c r="F204" s="239"/>
      <c r="G204" s="244"/>
      <c r="I204" s="200"/>
    </row>
    <row r="205" spans="2:9" s="199" customFormat="1" ht="15" customHeight="1">
      <c r="B205" s="242"/>
      <c r="C205" s="246" t="s">
        <v>31</v>
      </c>
      <c r="D205" s="247">
        <f>SUM(D199:D204)</f>
        <v>113.36</v>
      </c>
      <c r="E205" s="239" t="s">
        <v>53</v>
      </c>
      <c r="F205" s="239"/>
      <c r="G205" s="244"/>
      <c r="I205" s="200"/>
    </row>
    <row r="206" spans="2:9" s="199" customFormat="1" ht="15" customHeight="1">
      <c r="B206" s="242"/>
      <c r="C206" s="239"/>
      <c r="D206" s="245"/>
      <c r="E206" s="239"/>
      <c r="F206" s="239"/>
      <c r="G206" s="244"/>
      <c r="I206" s="200"/>
    </row>
    <row r="207" spans="2:9" s="199" customFormat="1" ht="15">
      <c r="B207" s="207" t="s">
        <v>222</v>
      </c>
      <c r="C207" s="248" t="s">
        <v>22</v>
      </c>
      <c r="D207" s="209"/>
      <c r="E207" s="209"/>
      <c r="F207" s="210"/>
      <c r="G207" s="211"/>
      <c r="I207" s="200"/>
    </row>
    <row r="208" spans="2:9" s="199" customFormat="1" ht="27.75" customHeight="1">
      <c r="B208" s="249" t="s">
        <v>84</v>
      </c>
      <c r="C208" s="561" t="s">
        <v>337</v>
      </c>
      <c r="D208" s="562"/>
      <c r="E208" s="562"/>
      <c r="F208" s="562"/>
      <c r="G208" s="563"/>
      <c r="I208" s="200"/>
    </row>
    <row r="209" spans="2:9" s="199" customFormat="1" ht="27.75" customHeight="1">
      <c r="B209" s="249" t="s">
        <v>110</v>
      </c>
      <c r="C209" s="561" t="s">
        <v>338</v>
      </c>
      <c r="D209" s="562"/>
      <c r="E209" s="562"/>
      <c r="F209" s="562"/>
      <c r="G209" s="563"/>
      <c r="I209" s="200"/>
    </row>
    <row r="210" spans="2:9" s="199" customFormat="1" ht="18" customHeight="1">
      <c r="B210" s="249" t="s">
        <v>223</v>
      </c>
      <c r="C210" s="250" t="s">
        <v>339</v>
      </c>
      <c r="D210" s="209"/>
      <c r="E210" s="209"/>
      <c r="F210" s="251"/>
      <c r="G210" s="211"/>
      <c r="I210" s="200"/>
    </row>
    <row r="211" spans="2:9" s="199" customFormat="1" ht="18" customHeight="1">
      <c r="B211" s="249"/>
      <c r="C211" s="252" t="s">
        <v>31</v>
      </c>
      <c r="D211" s="253">
        <f>3.15*2.1</f>
        <v>6.615</v>
      </c>
      <c r="E211" s="253" t="s">
        <v>0</v>
      </c>
      <c r="F211" s="251"/>
      <c r="G211" s="211"/>
      <c r="I211" s="200"/>
    </row>
    <row r="212" spans="2:9" s="199" customFormat="1" ht="18" customHeight="1">
      <c r="B212" s="249"/>
      <c r="C212" s="250"/>
      <c r="D212" s="209"/>
      <c r="E212" s="209"/>
      <c r="F212" s="251"/>
      <c r="G212" s="211"/>
      <c r="I212" s="200"/>
    </row>
    <row r="213" spans="2:9" s="199" customFormat="1" ht="15">
      <c r="B213" s="190" t="s">
        <v>223</v>
      </c>
      <c r="C213" s="561" t="s">
        <v>224</v>
      </c>
      <c r="D213" s="562"/>
      <c r="E213" s="562"/>
      <c r="F213" s="562"/>
      <c r="G213" s="563"/>
      <c r="I213" s="200"/>
    </row>
    <row r="214" spans="2:9" s="199" customFormat="1" ht="15">
      <c r="B214" s="190"/>
      <c r="C214" s="225" t="s">
        <v>225</v>
      </c>
      <c r="D214" s="254" t="s">
        <v>226</v>
      </c>
      <c r="E214" s="254" t="s">
        <v>227</v>
      </c>
      <c r="F214" s="210"/>
      <c r="G214" s="211"/>
      <c r="I214" s="200"/>
    </row>
    <row r="215" spans="2:9" s="199" customFormat="1" ht="15">
      <c r="B215" s="190"/>
      <c r="C215" s="254" t="s">
        <v>228</v>
      </c>
      <c r="D215" s="254">
        <v>6</v>
      </c>
      <c r="E215" s="254">
        <f>1.5*0.5*6</f>
        <v>4.5</v>
      </c>
      <c r="F215" s="210"/>
      <c r="G215" s="211"/>
      <c r="I215" s="200"/>
    </row>
    <row r="216" spans="2:9" s="199" customFormat="1" ht="15">
      <c r="B216" s="190"/>
      <c r="C216" s="254" t="s">
        <v>229</v>
      </c>
      <c r="D216" s="254">
        <v>3</v>
      </c>
      <c r="E216" s="254">
        <f>(2.5*1.1*3)</f>
        <v>8.25</v>
      </c>
      <c r="F216" s="210"/>
      <c r="G216" s="211"/>
      <c r="I216" s="200"/>
    </row>
    <row r="217" spans="2:9" s="199" customFormat="1" ht="15">
      <c r="B217" s="190"/>
      <c r="C217" s="254" t="s">
        <v>230</v>
      </c>
      <c r="D217" s="254">
        <v>1</v>
      </c>
      <c r="E217" s="254">
        <f>(2*1.1)</f>
        <v>2.2</v>
      </c>
      <c r="F217" s="210"/>
      <c r="G217" s="211"/>
      <c r="I217" s="200"/>
    </row>
    <row r="218" spans="2:9" s="199" customFormat="1" ht="15">
      <c r="B218" s="190"/>
      <c r="C218" s="254" t="s">
        <v>231</v>
      </c>
      <c r="D218" s="254">
        <v>1</v>
      </c>
      <c r="E218" s="254">
        <f>(3.2*1)</f>
        <v>3.2</v>
      </c>
      <c r="F218" s="210"/>
      <c r="G218" s="211"/>
      <c r="I218" s="200"/>
    </row>
    <row r="219" spans="2:9" s="199" customFormat="1" ht="15">
      <c r="B219" s="190"/>
      <c r="C219" s="254" t="s">
        <v>232</v>
      </c>
      <c r="D219" s="254">
        <v>1</v>
      </c>
      <c r="E219" s="254">
        <f>(1.5*0.7)*2</f>
        <v>2.0999999999999996</v>
      </c>
      <c r="F219" s="210"/>
      <c r="G219" s="211"/>
      <c r="I219" s="200"/>
    </row>
    <row r="220" spans="2:9" s="199" customFormat="1" ht="15">
      <c r="B220" s="190"/>
      <c r="C220" s="252" t="s">
        <v>31</v>
      </c>
      <c r="D220" s="255"/>
      <c r="E220" s="256">
        <f>SUM(E215:E219)</f>
        <v>20.25</v>
      </c>
      <c r="F220" s="210" t="s">
        <v>0</v>
      </c>
      <c r="G220" s="211"/>
      <c r="I220" s="200"/>
    </row>
    <row r="221" spans="2:9" s="199" customFormat="1" ht="15">
      <c r="B221" s="190"/>
      <c r="C221" s="208"/>
      <c r="D221" s="210"/>
      <c r="E221" s="210"/>
      <c r="F221" s="210"/>
      <c r="G221" s="211"/>
      <c r="I221" s="200"/>
    </row>
    <row r="222" spans="2:9" s="199" customFormat="1" ht="17.25" customHeight="1">
      <c r="B222" s="207" t="s">
        <v>83</v>
      </c>
      <c r="C222" s="564" t="s">
        <v>25</v>
      </c>
      <c r="D222" s="565"/>
      <c r="E222" s="565"/>
      <c r="F222" s="565"/>
      <c r="G222" s="566"/>
      <c r="I222" s="200"/>
    </row>
    <row r="223" spans="2:9" s="199" customFormat="1" ht="15">
      <c r="B223" s="190" t="s">
        <v>41</v>
      </c>
      <c r="C223" s="571" t="s">
        <v>233</v>
      </c>
      <c r="D223" s="572"/>
      <c r="E223" s="572"/>
      <c r="F223" s="572"/>
      <c r="G223" s="573"/>
      <c r="H223" s="257"/>
      <c r="I223" s="200"/>
    </row>
    <row r="224" spans="2:9" s="199" customFormat="1" ht="15">
      <c r="B224" s="190"/>
      <c r="C224" s="205" t="s">
        <v>219</v>
      </c>
      <c r="D224" s="225" t="s">
        <v>234</v>
      </c>
      <c r="E224" s="258"/>
      <c r="F224" s="258"/>
      <c r="G224" s="258"/>
      <c r="H224" s="257"/>
      <c r="I224" s="200"/>
    </row>
    <row r="225" spans="2:9" s="199" customFormat="1" ht="15">
      <c r="B225" s="190"/>
      <c r="C225" s="223" t="s">
        <v>151</v>
      </c>
      <c r="D225" s="224">
        <v>12.25</v>
      </c>
      <c r="E225" s="219"/>
      <c r="F225" s="258"/>
      <c r="G225" s="258"/>
      <c r="H225" s="257"/>
      <c r="I225" s="200"/>
    </row>
    <row r="226" spans="2:9" s="199" customFormat="1" ht="15">
      <c r="B226" s="190"/>
      <c r="C226" s="223" t="s">
        <v>152</v>
      </c>
      <c r="D226" s="224">
        <v>40.91</v>
      </c>
      <c r="E226" s="219"/>
      <c r="F226" s="258"/>
      <c r="G226" s="258"/>
      <c r="H226" s="257"/>
      <c r="I226" s="200"/>
    </row>
    <row r="227" spans="2:9" s="199" customFormat="1" ht="15">
      <c r="B227" s="190"/>
      <c r="C227" s="223" t="s">
        <v>153</v>
      </c>
      <c r="D227" s="224">
        <v>9.4</v>
      </c>
      <c r="E227" s="219"/>
      <c r="F227" s="258"/>
      <c r="G227" s="258"/>
      <c r="H227" s="257"/>
      <c r="I227" s="200"/>
    </row>
    <row r="228" spans="2:9" s="199" customFormat="1" ht="15">
      <c r="B228" s="190"/>
      <c r="C228" s="223" t="s">
        <v>154</v>
      </c>
      <c r="D228" s="224">
        <v>4.4</v>
      </c>
      <c r="E228" s="219"/>
      <c r="F228" s="258"/>
      <c r="G228" s="258"/>
      <c r="H228" s="257"/>
      <c r="I228" s="200"/>
    </row>
    <row r="229" spans="2:9" s="199" customFormat="1" ht="15">
      <c r="B229" s="190"/>
      <c r="C229" s="223" t="s">
        <v>154</v>
      </c>
      <c r="D229" s="224">
        <v>4.4</v>
      </c>
      <c r="E229" s="219"/>
      <c r="F229" s="258"/>
      <c r="G229" s="258"/>
      <c r="H229" s="257"/>
      <c r="I229" s="200"/>
    </row>
    <row r="230" spans="2:9" s="199" customFormat="1" ht="15">
      <c r="B230" s="190"/>
      <c r="C230" s="223" t="s">
        <v>155</v>
      </c>
      <c r="D230" s="224">
        <v>4.18</v>
      </c>
      <c r="E230" s="219"/>
      <c r="F230" s="258"/>
      <c r="G230" s="258"/>
      <c r="H230" s="257"/>
      <c r="I230" s="200"/>
    </row>
    <row r="231" spans="2:9" s="199" customFormat="1" ht="15">
      <c r="B231" s="190"/>
      <c r="C231" s="223" t="s">
        <v>156</v>
      </c>
      <c r="D231" s="225">
        <v>5.92</v>
      </c>
      <c r="E231" s="219"/>
      <c r="F231" s="259"/>
      <c r="G231" s="258"/>
      <c r="H231" s="257"/>
      <c r="I231" s="200"/>
    </row>
    <row r="232" spans="2:9" s="199" customFormat="1" ht="15">
      <c r="B232" s="190"/>
      <c r="C232" s="223" t="s">
        <v>157</v>
      </c>
      <c r="D232" s="224">
        <v>23.2</v>
      </c>
      <c r="E232" s="219"/>
      <c r="F232" s="258"/>
      <c r="G232" s="258"/>
      <c r="H232" s="257"/>
      <c r="I232" s="200"/>
    </row>
    <row r="233" spans="2:9" s="199" customFormat="1" ht="15">
      <c r="B233" s="190"/>
      <c r="C233" s="223" t="s">
        <v>158</v>
      </c>
      <c r="D233" s="224">
        <v>28.57</v>
      </c>
      <c r="E233" s="220"/>
      <c r="F233" s="260"/>
      <c r="G233" s="260"/>
      <c r="H233" s="257"/>
      <c r="I233" s="200"/>
    </row>
    <row r="234" spans="2:9" s="199" customFormat="1" ht="15">
      <c r="B234" s="190"/>
      <c r="C234" s="223" t="s">
        <v>159</v>
      </c>
      <c r="D234" s="224">
        <v>10.55</v>
      </c>
      <c r="E234" s="220"/>
      <c r="F234" s="260"/>
      <c r="G234" s="260"/>
      <c r="H234" s="257"/>
      <c r="I234" s="200"/>
    </row>
    <row r="235" spans="2:9" s="199" customFormat="1" ht="15">
      <c r="B235" s="190"/>
      <c r="C235" s="227" t="s">
        <v>31</v>
      </c>
      <c r="D235" s="228">
        <f>SUM(D225:D234)</f>
        <v>143.78</v>
      </c>
      <c r="E235" s="219" t="s">
        <v>0</v>
      </c>
      <c r="F235" s="260"/>
      <c r="G235" s="260"/>
      <c r="H235" s="257"/>
      <c r="I235" s="200"/>
    </row>
    <row r="236" spans="2:9" s="199" customFormat="1" ht="15">
      <c r="B236" s="190"/>
      <c r="C236" s="261"/>
      <c r="D236" s="262"/>
      <c r="E236" s="262"/>
      <c r="F236" s="262"/>
      <c r="G236" s="263"/>
      <c r="H236" s="257"/>
      <c r="I236" s="200"/>
    </row>
    <row r="237" spans="2:9" s="199" customFormat="1" ht="15">
      <c r="B237" s="190"/>
      <c r="C237" s="261"/>
      <c r="D237" s="262"/>
      <c r="E237" s="262"/>
      <c r="F237" s="262"/>
      <c r="G237" s="263"/>
      <c r="H237" s="257"/>
      <c r="I237" s="200"/>
    </row>
    <row r="238" spans="2:9" s="199" customFormat="1" ht="15" customHeight="1">
      <c r="B238" s="190" t="s">
        <v>42</v>
      </c>
      <c r="C238" s="571" t="s">
        <v>235</v>
      </c>
      <c r="D238" s="572"/>
      <c r="E238" s="572"/>
      <c r="F238" s="572"/>
      <c r="G238" s="573"/>
      <c r="I238" s="200"/>
    </row>
    <row r="239" spans="2:9" s="199" customFormat="1" ht="15" customHeight="1">
      <c r="B239" s="190"/>
      <c r="C239" s="205" t="s">
        <v>219</v>
      </c>
      <c r="D239" s="200" t="s">
        <v>220</v>
      </c>
      <c r="E239" s="264" t="s">
        <v>236</v>
      </c>
      <c r="F239" s="264" t="s">
        <v>31</v>
      </c>
      <c r="G239" s="263"/>
      <c r="I239" s="200"/>
    </row>
    <row r="240" spans="2:9" s="199" customFormat="1" ht="15" customHeight="1">
      <c r="B240" s="190"/>
      <c r="C240" s="224" t="s">
        <v>151</v>
      </c>
      <c r="D240" s="225">
        <v>14</v>
      </c>
      <c r="E240" s="264"/>
      <c r="F240" s="264"/>
      <c r="G240" s="263"/>
      <c r="I240" s="200"/>
    </row>
    <row r="241" spans="2:9" s="199" customFormat="1" ht="15" customHeight="1">
      <c r="B241" s="190"/>
      <c r="C241" s="224" t="s">
        <v>221</v>
      </c>
      <c r="D241" s="225">
        <v>33.74</v>
      </c>
      <c r="E241" s="264"/>
      <c r="F241" s="264"/>
      <c r="G241" s="263"/>
      <c r="I241" s="200"/>
    </row>
    <row r="242" spans="2:9" s="199" customFormat="1" ht="15" customHeight="1">
      <c r="B242" s="190"/>
      <c r="C242" s="224" t="s">
        <v>156</v>
      </c>
      <c r="D242" s="245">
        <v>10.37</v>
      </c>
      <c r="E242" s="264"/>
      <c r="F242" s="264"/>
      <c r="G242" s="263"/>
      <c r="I242" s="200"/>
    </row>
    <row r="243" spans="2:9" s="199" customFormat="1" ht="15" customHeight="1">
      <c r="B243" s="190"/>
      <c r="C243" s="224" t="s">
        <v>157</v>
      </c>
      <c r="D243" s="245">
        <v>20.27</v>
      </c>
      <c r="E243" s="264"/>
      <c r="F243" s="264"/>
      <c r="G243" s="263"/>
      <c r="I243" s="200"/>
    </row>
    <row r="244" spans="2:9" s="199" customFormat="1" ht="15" customHeight="1">
      <c r="B244" s="190"/>
      <c r="C244" s="224" t="s">
        <v>158</v>
      </c>
      <c r="D244" s="245">
        <v>22.4</v>
      </c>
      <c r="E244" s="264"/>
      <c r="F244" s="264"/>
      <c r="G244" s="263"/>
      <c r="I244" s="200"/>
    </row>
    <row r="245" spans="2:9" s="199" customFormat="1" ht="15" customHeight="1">
      <c r="B245" s="190"/>
      <c r="C245" s="224" t="s">
        <v>159</v>
      </c>
      <c r="D245" s="245">
        <v>12.58</v>
      </c>
      <c r="E245" s="264"/>
      <c r="F245" s="264"/>
      <c r="G245" s="263"/>
      <c r="I245" s="200"/>
    </row>
    <row r="246" spans="2:9" s="199" customFormat="1" ht="15" customHeight="1">
      <c r="B246" s="190"/>
      <c r="C246" s="265" t="s">
        <v>237</v>
      </c>
      <c r="D246" s="266">
        <f>SUM(D240:D245)</f>
        <v>113.36</v>
      </c>
      <c r="E246" s="253">
        <v>3</v>
      </c>
      <c r="F246" s="267">
        <f>E246*D246</f>
        <v>340.08</v>
      </c>
      <c r="G246" s="263" t="s">
        <v>0</v>
      </c>
      <c r="I246" s="200"/>
    </row>
    <row r="247" spans="2:9" s="199" customFormat="1" ht="15" customHeight="1">
      <c r="B247" s="190"/>
      <c r="C247" s="261"/>
      <c r="D247" s="262"/>
      <c r="E247" s="262"/>
      <c r="F247" s="262"/>
      <c r="G247" s="263"/>
      <c r="I247" s="200"/>
    </row>
    <row r="248" spans="2:9" s="199" customFormat="1" ht="15">
      <c r="B248" s="190" t="s">
        <v>43</v>
      </c>
      <c r="C248" s="571" t="s">
        <v>238</v>
      </c>
      <c r="D248" s="572"/>
      <c r="E248" s="572"/>
      <c r="F248" s="572"/>
      <c r="G248" s="573"/>
      <c r="I248" s="200"/>
    </row>
    <row r="249" spans="2:9" s="199" customFormat="1" ht="15">
      <c r="B249" s="190"/>
      <c r="C249" s="261" t="s">
        <v>239</v>
      </c>
      <c r="D249" s="260" t="s">
        <v>240</v>
      </c>
      <c r="E249" s="260" t="s">
        <v>241</v>
      </c>
      <c r="F249" s="260"/>
      <c r="G249" s="263"/>
      <c r="I249" s="200"/>
    </row>
    <row r="250" spans="2:9" s="199" customFormat="1" ht="15">
      <c r="B250" s="190"/>
      <c r="C250" s="268" t="s">
        <v>242</v>
      </c>
      <c r="D250" s="258">
        <v>5</v>
      </c>
      <c r="E250" s="258">
        <f>(0.8*2.1*5*2.5)</f>
        <v>21</v>
      </c>
      <c r="F250" s="258"/>
      <c r="G250" s="263"/>
      <c r="I250" s="200"/>
    </row>
    <row r="251" spans="2:9" s="199" customFormat="1" ht="15">
      <c r="B251" s="190"/>
      <c r="C251" s="268" t="s">
        <v>243</v>
      </c>
      <c r="D251" s="258">
        <v>1</v>
      </c>
      <c r="E251" s="258">
        <f>1.2*2.1*2.5</f>
        <v>6.3</v>
      </c>
      <c r="F251" s="258"/>
      <c r="G251" s="263"/>
      <c r="I251" s="200"/>
    </row>
    <row r="252" spans="2:9" s="199" customFormat="1" ht="15">
      <c r="B252" s="190"/>
      <c r="C252" s="269" t="s">
        <v>31</v>
      </c>
      <c r="D252" s="256"/>
      <c r="E252" s="218">
        <f>SUM(E250:E251)</f>
        <v>27.3</v>
      </c>
      <c r="F252" s="258" t="s">
        <v>0</v>
      </c>
      <c r="G252" s="263"/>
      <c r="I252" s="200"/>
    </row>
    <row r="253" spans="2:9" s="199" customFormat="1" ht="15">
      <c r="B253" s="190"/>
      <c r="C253" s="268"/>
      <c r="D253" s="264"/>
      <c r="E253" s="264"/>
      <c r="F253" s="264"/>
      <c r="G253" s="263"/>
      <c r="I253" s="200"/>
    </row>
    <row r="254" spans="2:9" s="199" customFormat="1" ht="15">
      <c r="B254" s="270" t="s">
        <v>127</v>
      </c>
      <c r="C254" s="271" t="s">
        <v>244</v>
      </c>
      <c r="D254" s="264"/>
      <c r="E254" s="264"/>
      <c r="F254" s="264"/>
      <c r="G254" s="263"/>
      <c r="I254" s="200"/>
    </row>
    <row r="255" spans="2:9" s="199" customFormat="1" ht="15">
      <c r="B255" s="190"/>
      <c r="C255" s="268" t="s">
        <v>245</v>
      </c>
      <c r="D255" s="264"/>
      <c r="E255" s="264"/>
      <c r="F255" s="264"/>
      <c r="G255" s="263"/>
      <c r="I255" s="200"/>
    </row>
    <row r="256" spans="2:9" s="199" customFormat="1" ht="15">
      <c r="B256" s="190"/>
      <c r="C256" s="269" t="s">
        <v>31</v>
      </c>
      <c r="D256" s="267">
        <f>(30.63*0.8*2)</f>
        <v>49.008</v>
      </c>
      <c r="E256" s="258" t="s">
        <v>0</v>
      </c>
      <c r="F256" s="264"/>
      <c r="G256" s="263"/>
      <c r="I256" s="200"/>
    </row>
    <row r="257" spans="2:9" s="199" customFormat="1" ht="15">
      <c r="B257" s="190"/>
      <c r="C257" s="268"/>
      <c r="D257" s="264"/>
      <c r="E257" s="264"/>
      <c r="F257" s="264"/>
      <c r="G257" s="263"/>
      <c r="I257" s="200"/>
    </row>
    <row r="258" spans="2:9" s="199" customFormat="1" ht="15">
      <c r="B258" s="190" t="s">
        <v>246</v>
      </c>
      <c r="C258" s="571" t="s">
        <v>247</v>
      </c>
      <c r="D258" s="572"/>
      <c r="E258" s="572"/>
      <c r="F258" s="572"/>
      <c r="G258" s="573"/>
      <c r="I258" s="200"/>
    </row>
    <row r="259" spans="2:9" s="199" customFormat="1" ht="15">
      <c r="B259" s="190"/>
      <c r="C259" s="258" t="s">
        <v>248</v>
      </c>
      <c r="D259" s="258" t="s">
        <v>240</v>
      </c>
      <c r="E259" s="258"/>
      <c r="F259" s="258"/>
      <c r="G259" s="260"/>
      <c r="I259" s="200"/>
    </row>
    <row r="260" spans="2:9" s="199" customFormat="1" ht="15">
      <c r="B260" s="190"/>
      <c r="C260" s="258" t="s">
        <v>249</v>
      </c>
      <c r="D260" s="258">
        <f>(10.18+0.3+1.4)*5</f>
        <v>59.400000000000006</v>
      </c>
      <c r="E260" s="258" t="s">
        <v>0</v>
      </c>
      <c r="F260" s="258"/>
      <c r="G260" s="260"/>
      <c r="I260" s="200"/>
    </row>
    <row r="261" spans="2:9" s="199" customFormat="1" ht="15">
      <c r="B261" s="190"/>
      <c r="C261" s="258" t="s">
        <v>250</v>
      </c>
      <c r="D261" s="200">
        <f>((5.1*1.9)/2)*2</f>
        <v>9.69</v>
      </c>
      <c r="E261" s="258" t="s">
        <v>0</v>
      </c>
      <c r="F261" s="258"/>
      <c r="G261" s="260"/>
      <c r="I261" s="200"/>
    </row>
    <row r="262" spans="2:9" s="199" customFormat="1" ht="15">
      <c r="B262" s="190"/>
      <c r="C262" s="258" t="s">
        <v>251</v>
      </c>
      <c r="D262" s="258"/>
      <c r="E262" s="258"/>
      <c r="F262" s="258"/>
      <c r="G262" s="260"/>
      <c r="I262" s="200"/>
    </row>
    <row r="263" spans="2:9" s="199" customFormat="1" ht="15">
      <c r="B263" s="190"/>
      <c r="C263" s="258" t="s">
        <v>252</v>
      </c>
      <c r="D263" s="258">
        <f>((4.39*1.3)/2)+(8.78*3.1)</f>
        <v>30.0715</v>
      </c>
      <c r="E263" s="258" t="s">
        <v>0</v>
      </c>
      <c r="F263" s="258"/>
      <c r="G263" s="260"/>
      <c r="I263" s="200"/>
    </row>
    <row r="264" spans="2:9" s="199" customFormat="1" ht="15">
      <c r="B264" s="190"/>
      <c r="C264" s="258" t="s">
        <v>253</v>
      </c>
      <c r="D264" s="258"/>
      <c r="E264" s="258"/>
      <c r="F264" s="258"/>
      <c r="G264" s="260"/>
      <c r="I264" s="200"/>
    </row>
    <row r="265" spans="2:9" s="199" customFormat="1" ht="15">
      <c r="B265" s="190"/>
      <c r="C265" s="258" t="s">
        <v>254</v>
      </c>
      <c r="D265" s="258">
        <f>(18.06*2)*3.1</f>
        <v>111.972</v>
      </c>
      <c r="E265" s="258" t="s">
        <v>0</v>
      </c>
      <c r="F265" s="260"/>
      <c r="G265" s="260"/>
      <c r="I265" s="200"/>
    </row>
    <row r="266" spans="2:9" s="199" customFormat="1" ht="15">
      <c r="B266" s="190"/>
      <c r="C266" s="269" t="s">
        <v>31</v>
      </c>
      <c r="D266" s="218">
        <f>SUM(D260:D265)</f>
        <v>211.1335</v>
      </c>
      <c r="E266" s="258" t="s">
        <v>0</v>
      </c>
      <c r="F266" s="260"/>
      <c r="G266" s="260"/>
      <c r="I266" s="200"/>
    </row>
    <row r="267" spans="2:9" s="199" customFormat="1" ht="15">
      <c r="B267" s="190"/>
      <c r="C267" s="261"/>
      <c r="D267" s="262"/>
      <c r="E267" s="262"/>
      <c r="F267" s="262"/>
      <c r="G267" s="263"/>
      <c r="I267" s="200"/>
    </row>
    <row r="268" spans="2:9" s="199" customFormat="1" ht="15">
      <c r="B268" s="272" t="s">
        <v>255</v>
      </c>
      <c r="C268" s="571" t="s">
        <v>256</v>
      </c>
      <c r="D268" s="572"/>
      <c r="E268" s="572"/>
      <c r="F268" s="572"/>
      <c r="G268" s="573"/>
      <c r="I268" s="200"/>
    </row>
    <row r="269" spans="2:9" s="199" customFormat="1" ht="15">
      <c r="B269" s="272"/>
      <c r="C269" s="261" t="s">
        <v>257</v>
      </c>
      <c r="D269" s="264"/>
      <c r="E269" s="264"/>
      <c r="F269" s="264"/>
      <c r="G269" s="263"/>
      <c r="I269" s="200"/>
    </row>
    <row r="270" spans="2:9" s="199" customFormat="1" ht="15">
      <c r="B270" s="272"/>
      <c r="C270" s="261" t="s">
        <v>258</v>
      </c>
      <c r="D270" s="264">
        <f>(37.65*1*2)</f>
        <v>75.3</v>
      </c>
      <c r="E270" s="258" t="s">
        <v>0</v>
      </c>
      <c r="F270" s="264"/>
      <c r="G270" s="263"/>
      <c r="I270" s="200"/>
    </row>
    <row r="271" spans="2:9" s="199" customFormat="1" ht="15">
      <c r="B271" s="272"/>
      <c r="C271" s="261" t="s">
        <v>259</v>
      </c>
      <c r="D271" s="264"/>
      <c r="E271" s="264"/>
      <c r="F271" s="264"/>
      <c r="G271" s="263"/>
      <c r="I271" s="200"/>
    </row>
    <row r="272" spans="2:9" s="199" customFormat="1" ht="15">
      <c r="B272" s="272"/>
      <c r="C272" s="261" t="s">
        <v>260</v>
      </c>
      <c r="D272" s="264">
        <f>(30.2*2.1*2)</f>
        <v>126.84</v>
      </c>
      <c r="E272" s="258" t="s">
        <v>0</v>
      </c>
      <c r="F272" s="264"/>
      <c r="G272" s="263"/>
      <c r="I272" s="200"/>
    </row>
    <row r="273" spans="2:9" s="199" customFormat="1" ht="15">
      <c r="B273" s="272"/>
      <c r="C273" s="269" t="s">
        <v>31</v>
      </c>
      <c r="D273" s="218">
        <f>SUM(D270:D272)</f>
        <v>202.14</v>
      </c>
      <c r="E273" s="258" t="s">
        <v>0</v>
      </c>
      <c r="F273" s="264"/>
      <c r="G273" s="263"/>
      <c r="I273" s="200"/>
    </row>
    <row r="274" spans="2:9" s="199" customFormat="1" ht="15">
      <c r="B274" s="272"/>
      <c r="C274" s="261"/>
      <c r="D274" s="262"/>
      <c r="E274" s="262"/>
      <c r="F274" s="262"/>
      <c r="G274" s="263"/>
      <c r="I274" s="200"/>
    </row>
    <row r="275" spans="2:9" s="199" customFormat="1" ht="15">
      <c r="B275" s="207" t="s">
        <v>55</v>
      </c>
      <c r="C275" s="574" t="s">
        <v>26</v>
      </c>
      <c r="D275" s="575"/>
      <c r="E275" s="575"/>
      <c r="F275" s="575"/>
      <c r="G275" s="576"/>
      <c r="I275" s="200"/>
    </row>
    <row r="276" spans="2:9" s="199" customFormat="1" ht="15" customHeight="1">
      <c r="B276" s="190" t="s">
        <v>56</v>
      </c>
      <c r="C276" s="273" t="s">
        <v>261</v>
      </c>
      <c r="D276" s="274"/>
      <c r="E276" s="274"/>
      <c r="F276" s="274"/>
      <c r="G276" s="275"/>
      <c r="I276" s="200"/>
    </row>
    <row r="277" spans="2:9" s="199" customFormat="1" ht="15">
      <c r="B277" s="190"/>
      <c r="C277" s="276" t="s">
        <v>262</v>
      </c>
      <c r="D277" s="277">
        <v>37.45</v>
      </c>
      <c r="E277" s="258" t="s">
        <v>0</v>
      </c>
      <c r="F277" s="278"/>
      <c r="G277" s="279"/>
      <c r="I277" s="200"/>
    </row>
    <row r="278" spans="2:9" s="199" customFormat="1" ht="15">
      <c r="B278" s="190"/>
      <c r="C278" s="276" t="s">
        <v>263</v>
      </c>
      <c r="D278" s="277">
        <v>71.35</v>
      </c>
      <c r="E278" s="258" t="s">
        <v>0</v>
      </c>
      <c r="F278" s="278"/>
      <c r="G278" s="279"/>
      <c r="I278" s="200"/>
    </row>
    <row r="279" spans="2:9" s="199" customFormat="1" ht="15">
      <c r="B279" s="190"/>
      <c r="C279" s="269" t="s">
        <v>31</v>
      </c>
      <c r="D279" s="280">
        <f>SUM(D277:D278)</f>
        <v>108.8</v>
      </c>
      <c r="E279" s="258" t="s">
        <v>0</v>
      </c>
      <c r="F279" s="278"/>
      <c r="G279" s="279"/>
      <c r="I279" s="200"/>
    </row>
    <row r="280" spans="2:9" s="199" customFormat="1" ht="15">
      <c r="B280" s="190"/>
      <c r="C280" s="276"/>
      <c r="D280" s="278"/>
      <c r="E280" s="278"/>
      <c r="F280" s="278"/>
      <c r="G280" s="279"/>
      <c r="I280" s="200"/>
    </row>
    <row r="281" spans="2:9" s="199" customFormat="1" ht="15">
      <c r="B281" s="190" t="s">
        <v>128</v>
      </c>
      <c r="C281" s="567" t="s">
        <v>340</v>
      </c>
      <c r="D281" s="568"/>
      <c r="E281" s="568"/>
      <c r="F281" s="568"/>
      <c r="G281" s="569"/>
      <c r="I281" s="200"/>
    </row>
    <row r="282" spans="2:9" s="199" customFormat="1" ht="15">
      <c r="B282" s="190"/>
      <c r="C282" s="212"/>
      <c r="D282" s="214"/>
      <c r="E282" s="214"/>
      <c r="F282" s="214"/>
      <c r="G282" s="215"/>
      <c r="I282" s="200"/>
    </row>
    <row r="283" spans="2:9" s="199" customFormat="1" ht="16.5" customHeight="1">
      <c r="B283" s="190" t="s">
        <v>129</v>
      </c>
      <c r="C283" s="561" t="s">
        <v>341</v>
      </c>
      <c r="D283" s="562"/>
      <c r="E283" s="562"/>
      <c r="F283" s="562"/>
      <c r="G283" s="563"/>
      <c r="I283" s="200"/>
    </row>
    <row r="284" spans="2:9" s="199" customFormat="1" ht="16.5" customHeight="1">
      <c r="B284" s="190"/>
      <c r="C284" s="208"/>
      <c r="D284" s="210"/>
      <c r="E284" s="210"/>
      <c r="F284" s="210"/>
      <c r="G284" s="211"/>
      <c r="I284" s="200"/>
    </row>
    <row r="285" spans="2:9" s="199" customFormat="1" ht="15">
      <c r="B285" s="190" t="s">
        <v>130</v>
      </c>
      <c r="C285" s="561" t="s">
        <v>342</v>
      </c>
      <c r="D285" s="562"/>
      <c r="E285" s="562"/>
      <c r="F285" s="562"/>
      <c r="G285" s="563"/>
      <c r="I285" s="200"/>
    </row>
    <row r="286" spans="2:9" s="199" customFormat="1" ht="15">
      <c r="B286" s="190"/>
      <c r="C286" s="208"/>
      <c r="D286" s="210"/>
      <c r="E286" s="210"/>
      <c r="F286" s="210"/>
      <c r="G286" s="211"/>
      <c r="I286" s="200"/>
    </row>
    <row r="287" spans="2:9" s="199" customFormat="1" ht="15">
      <c r="B287" s="190" t="s">
        <v>264</v>
      </c>
      <c r="C287" s="561" t="s">
        <v>343</v>
      </c>
      <c r="D287" s="562"/>
      <c r="E287" s="562"/>
      <c r="F287" s="562"/>
      <c r="G287" s="563"/>
      <c r="I287" s="200"/>
    </row>
    <row r="288" spans="2:9" s="199" customFormat="1" ht="15">
      <c r="B288" s="190"/>
      <c r="C288" s="208"/>
      <c r="D288" s="210"/>
      <c r="E288" s="210"/>
      <c r="F288" s="210"/>
      <c r="G288" s="211"/>
      <c r="I288" s="200"/>
    </row>
    <row r="289" spans="2:9" s="199" customFormat="1" ht="15">
      <c r="B289" s="190" t="s">
        <v>265</v>
      </c>
      <c r="C289" s="577" t="s">
        <v>344</v>
      </c>
      <c r="D289" s="578"/>
      <c r="E289" s="578"/>
      <c r="F289" s="578"/>
      <c r="G289" s="579"/>
      <c r="I289" s="200"/>
    </row>
    <row r="290" spans="2:9" s="186" customFormat="1" ht="15" hidden="1">
      <c r="B290" s="187" t="s">
        <v>264</v>
      </c>
      <c r="C290" s="580" t="s">
        <v>345</v>
      </c>
      <c r="D290" s="581"/>
      <c r="E290" s="581"/>
      <c r="F290" s="581"/>
      <c r="G290" s="582"/>
      <c r="I290" s="188"/>
    </row>
    <row r="291" spans="2:9" s="186" customFormat="1" ht="15" hidden="1">
      <c r="B291" s="187" t="s">
        <v>266</v>
      </c>
      <c r="C291" s="580" t="s">
        <v>346</v>
      </c>
      <c r="D291" s="581"/>
      <c r="E291" s="581"/>
      <c r="F291" s="581"/>
      <c r="G291" s="582"/>
      <c r="I291" s="188"/>
    </row>
    <row r="292" spans="2:9" s="189" customFormat="1" ht="15">
      <c r="B292" s="190"/>
      <c r="C292" s="191"/>
      <c r="D292" s="192"/>
      <c r="E292" s="192"/>
      <c r="F292" s="192"/>
      <c r="G292" s="193"/>
      <c r="I292" s="194"/>
    </row>
    <row r="293" spans="2:9" s="199" customFormat="1" ht="15">
      <c r="B293" s="190" t="s">
        <v>267</v>
      </c>
      <c r="C293" s="577" t="s">
        <v>347</v>
      </c>
      <c r="D293" s="578"/>
      <c r="E293" s="578"/>
      <c r="F293" s="578"/>
      <c r="G293" s="579"/>
      <c r="I293" s="200"/>
    </row>
    <row r="294" spans="2:9" s="199" customFormat="1" ht="15">
      <c r="B294" s="190"/>
      <c r="C294" s="191"/>
      <c r="D294" s="192"/>
      <c r="E294" s="192"/>
      <c r="F294" s="192"/>
      <c r="G294" s="193"/>
      <c r="I294" s="200"/>
    </row>
    <row r="295" spans="2:9" s="199" customFormat="1" ht="15">
      <c r="B295" s="190" t="s">
        <v>268</v>
      </c>
      <c r="C295" s="577" t="s">
        <v>348</v>
      </c>
      <c r="D295" s="578"/>
      <c r="E295" s="578"/>
      <c r="F295" s="578"/>
      <c r="G295" s="579"/>
      <c r="I295" s="200"/>
    </row>
    <row r="296" spans="2:9" s="199" customFormat="1" ht="15">
      <c r="B296" s="190"/>
      <c r="C296" s="191"/>
      <c r="D296" s="192"/>
      <c r="E296" s="192"/>
      <c r="F296" s="192"/>
      <c r="G296" s="193"/>
      <c r="I296" s="200"/>
    </row>
    <row r="297" spans="2:9" s="199" customFormat="1" ht="15">
      <c r="B297" s="190" t="s">
        <v>269</v>
      </c>
      <c r="C297" s="577" t="s">
        <v>270</v>
      </c>
      <c r="D297" s="578"/>
      <c r="E297" s="578"/>
      <c r="F297" s="578"/>
      <c r="G297" s="579"/>
      <c r="I297" s="200"/>
    </row>
    <row r="298" spans="4:9" s="199" customFormat="1" ht="15">
      <c r="D298" s="200"/>
      <c r="E298" s="200"/>
      <c r="I298" s="200"/>
    </row>
    <row r="299" spans="4:9" s="199" customFormat="1" ht="15">
      <c r="D299" s="200"/>
      <c r="E299" s="200"/>
      <c r="I299" s="200"/>
    </row>
    <row r="300" spans="1:8" ht="15">
      <c r="A300" s="139"/>
      <c r="B300" s="585"/>
      <c r="C300" s="585"/>
      <c r="H300" s="139"/>
    </row>
    <row r="301" spans="1:8" ht="15">
      <c r="A301" s="139"/>
      <c r="B301" s="585"/>
      <c r="C301" s="585"/>
      <c r="H301" s="139"/>
    </row>
    <row r="302" spans="1:8" ht="15">
      <c r="A302" s="139"/>
      <c r="B302" s="195"/>
      <c r="C302" s="195"/>
      <c r="H302" s="139"/>
    </row>
    <row r="303" spans="1:8" ht="15">
      <c r="A303" s="139"/>
      <c r="B303" s="586"/>
      <c r="C303" s="586"/>
      <c r="H303" s="139"/>
    </row>
    <row r="304" spans="1:3" ht="15">
      <c r="A304" s="139"/>
      <c r="B304" s="583"/>
      <c r="C304" s="583"/>
    </row>
    <row r="305" spans="1:3" ht="15">
      <c r="A305" s="139"/>
      <c r="B305" s="584"/>
      <c r="C305" s="584"/>
    </row>
  </sheetData>
  <sheetProtection/>
  <mergeCells count="97">
    <mergeCell ref="B305:C305"/>
    <mergeCell ref="C293:G293"/>
    <mergeCell ref="C295:G295"/>
    <mergeCell ref="C297:G297"/>
    <mergeCell ref="B300:C300"/>
    <mergeCell ref="B301:C301"/>
    <mergeCell ref="B303:C303"/>
    <mergeCell ref="C285:G285"/>
    <mergeCell ref="C287:G287"/>
    <mergeCell ref="C289:G289"/>
    <mergeCell ref="C290:G290"/>
    <mergeCell ref="C291:G291"/>
    <mergeCell ref="B304:C304"/>
    <mergeCell ref="C248:G248"/>
    <mergeCell ref="C258:G258"/>
    <mergeCell ref="C268:G268"/>
    <mergeCell ref="C275:G275"/>
    <mergeCell ref="C281:G281"/>
    <mergeCell ref="C283:G283"/>
    <mergeCell ref="C208:G208"/>
    <mergeCell ref="C209:G209"/>
    <mergeCell ref="C213:G213"/>
    <mergeCell ref="C222:G222"/>
    <mergeCell ref="C223:G223"/>
    <mergeCell ref="C238:G238"/>
    <mergeCell ref="C166:G166"/>
    <mergeCell ref="C170:G170"/>
    <mergeCell ref="C184:G184"/>
    <mergeCell ref="C190:G190"/>
    <mergeCell ref="C191:G191"/>
    <mergeCell ref="C194:G194"/>
    <mergeCell ref="C140:G140"/>
    <mergeCell ref="C141:G141"/>
    <mergeCell ref="C143:G143"/>
    <mergeCell ref="C144:G144"/>
    <mergeCell ref="C147:G147"/>
    <mergeCell ref="C160:G160"/>
    <mergeCell ref="C134:G134"/>
    <mergeCell ref="C135:G135"/>
    <mergeCell ref="C136:G136"/>
    <mergeCell ref="C137:G137"/>
    <mergeCell ref="C138:G138"/>
    <mergeCell ref="C139:G139"/>
    <mergeCell ref="C128:G128"/>
    <mergeCell ref="C129:G129"/>
    <mergeCell ref="C130:G130"/>
    <mergeCell ref="C131:G131"/>
    <mergeCell ref="C132:G132"/>
    <mergeCell ref="C133:G133"/>
    <mergeCell ref="C121:G121"/>
    <mergeCell ref="C122:G122"/>
    <mergeCell ref="C124:G124"/>
    <mergeCell ref="C125:G125"/>
    <mergeCell ref="C126:G126"/>
    <mergeCell ref="C127:G127"/>
    <mergeCell ref="C114:G114"/>
    <mergeCell ref="C115:G115"/>
    <mergeCell ref="C116:G116"/>
    <mergeCell ref="C117:G117"/>
    <mergeCell ref="C119:G119"/>
    <mergeCell ref="C120:G120"/>
    <mergeCell ref="C108:G108"/>
    <mergeCell ref="C109:G109"/>
    <mergeCell ref="C110:G110"/>
    <mergeCell ref="C111:G111"/>
    <mergeCell ref="C112:G112"/>
    <mergeCell ref="C113:G113"/>
    <mergeCell ref="C102:G102"/>
    <mergeCell ref="C103:G103"/>
    <mergeCell ref="C104:G104"/>
    <mergeCell ref="C105:G105"/>
    <mergeCell ref="C106:G106"/>
    <mergeCell ref="C107:G107"/>
    <mergeCell ref="C95:G95"/>
    <mergeCell ref="C96:G96"/>
    <mergeCell ref="C97:G97"/>
    <mergeCell ref="C98:G98"/>
    <mergeCell ref="C99:G99"/>
    <mergeCell ref="C101:G101"/>
    <mergeCell ref="C56:G56"/>
    <mergeCell ref="C60:G60"/>
    <mergeCell ref="C86:G86"/>
    <mergeCell ref="C92:G92"/>
    <mergeCell ref="C93:G93"/>
    <mergeCell ref="B7:E7"/>
    <mergeCell ref="F7:G7"/>
    <mergeCell ref="B8:E8"/>
    <mergeCell ref="F8:G8"/>
    <mergeCell ref="C9:G9"/>
    <mergeCell ref="C14:G14"/>
    <mergeCell ref="B2:C4"/>
    <mergeCell ref="D2:G2"/>
    <mergeCell ref="D3:G3"/>
    <mergeCell ref="D4:G4"/>
    <mergeCell ref="B5:G5"/>
    <mergeCell ref="B6:E6"/>
    <mergeCell ref="F6:G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G22" sqref="G22"/>
    </sheetView>
  </sheetViews>
  <sheetFormatPr defaultColWidth="9.140625" defaultRowHeight="15"/>
  <cols>
    <col min="2" max="2" width="47.8515625" style="0" bestFit="1" customWidth="1"/>
    <col min="3" max="3" width="8.57421875" style="0" bestFit="1" customWidth="1"/>
    <col min="4" max="4" width="14.57421875" style="0" customWidth="1"/>
    <col min="5" max="5" width="7.57421875" style="0" bestFit="1" customWidth="1"/>
    <col min="6" max="6" width="11.28125" style="0" customWidth="1"/>
    <col min="7" max="7" width="8.421875" style="0" customWidth="1"/>
    <col min="8" max="8" width="11.00390625" style="0" bestFit="1" customWidth="1"/>
    <col min="9" max="9" width="7.57421875" style="0" bestFit="1" customWidth="1"/>
    <col min="10" max="10" width="11.00390625" style="0" bestFit="1" customWidth="1"/>
    <col min="11" max="11" width="10.7109375" style="0" customWidth="1"/>
  </cols>
  <sheetData>
    <row r="2" spans="1:11" ht="18" customHeight="1">
      <c r="A2" s="59"/>
      <c r="B2" s="60"/>
      <c r="C2" s="60"/>
      <c r="D2" s="60"/>
      <c r="E2" s="523" t="s">
        <v>74</v>
      </c>
      <c r="F2" s="524"/>
      <c r="G2" s="524"/>
      <c r="H2" s="524"/>
      <c r="I2" s="524"/>
      <c r="J2" s="524"/>
      <c r="K2" s="524"/>
    </row>
    <row r="3" spans="1:11" ht="18" customHeight="1">
      <c r="A3" s="61"/>
      <c r="B3" s="62"/>
      <c r="C3" s="62"/>
      <c r="D3" s="62"/>
      <c r="E3" s="524"/>
      <c r="F3" s="524"/>
      <c r="G3" s="524"/>
      <c r="H3" s="524"/>
      <c r="I3" s="524"/>
      <c r="J3" s="524"/>
      <c r="K3" s="524"/>
    </row>
    <row r="4" spans="1:11" ht="18" customHeight="1">
      <c r="A4" s="61"/>
      <c r="B4" s="62"/>
      <c r="C4" s="62"/>
      <c r="D4" s="62"/>
      <c r="E4" s="524" t="s">
        <v>75</v>
      </c>
      <c r="F4" s="524"/>
      <c r="G4" s="524"/>
      <c r="H4" s="524"/>
      <c r="I4" s="524"/>
      <c r="J4" s="524"/>
      <c r="K4" s="524"/>
    </row>
    <row r="5" spans="1:11" ht="18" customHeight="1">
      <c r="A5" s="61"/>
      <c r="B5" s="62"/>
      <c r="C5" s="62"/>
      <c r="D5" s="62"/>
      <c r="E5" s="524"/>
      <c r="F5" s="524"/>
      <c r="G5" s="524"/>
      <c r="H5" s="524"/>
      <c r="I5" s="524"/>
      <c r="J5" s="524"/>
      <c r="K5" s="524"/>
    </row>
    <row r="6" spans="1:11" ht="18" customHeight="1">
      <c r="A6" s="61"/>
      <c r="B6" s="62"/>
      <c r="C6" s="62"/>
      <c r="D6" s="62"/>
      <c r="E6" s="525" t="s">
        <v>75</v>
      </c>
      <c r="F6" s="525"/>
      <c r="G6" s="525"/>
      <c r="H6" s="525"/>
      <c r="I6" s="525"/>
      <c r="J6" s="525"/>
      <c r="K6" s="525"/>
    </row>
    <row r="7" spans="1:11" ht="18" customHeight="1">
      <c r="A7" s="63"/>
      <c r="B7" s="64"/>
      <c r="C7" s="64"/>
      <c r="D7" s="64"/>
      <c r="E7" s="525"/>
      <c r="F7" s="525"/>
      <c r="G7" s="525"/>
      <c r="H7" s="525"/>
      <c r="I7" s="525"/>
      <c r="J7" s="525"/>
      <c r="K7" s="525"/>
    </row>
    <row r="8" spans="1:11" ht="4.5" customHeight="1">
      <c r="A8" s="67"/>
      <c r="B8" s="62"/>
      <c r="C8" s="62"/>
      <c r="D8" s="62"/>
      <c r="E8" s="67"/>
      <c r="F8" s="69"/>
      <c r="G8" s="69"/>
      <c r="H8" s="69"/>
      <c r="I8" s="69"/>
      <c r="J8" s="70"/>
      <c r="K8" s="71"/>
    </row>
    <row r="9" spans="1:11" ht="24" customHeight="1">
      <c r="A9" s="485" t="s">
        <v>360</v>
      </c>
      <c r="B9" s="486"/>
      <c r="C9" s="486"/>
      <c r="D9" s="486"/>
      <c r="E9" s="485" t="s">
        <v>361</v>
      </c>
      <c r="F9" s="486"/>
      <c r="G9" s="486"/>
      <c r="H9" s="486"/>
      <c r="I9" s="486"/>
      <c r="J9" s="486"/>
      <c r="K9" s="487"/>
    </row>
    <row r="10" spans="1:11" ht="24" customHeight="1">
      <c r="A10" s="485" t="s">
        <v>362</v>
      </c>
      <c r="B10" s="486"/>
      <c r="C10" s="486"/>
      <c r="D10" s="486"/>
      <c r="E10" s="519" t="s">
        <v>85</v>
      </c>
      <c r="F10" s="520"/>
      <c r="G10" s="520"/>
      <c r="H10" s="520"/>
      <c r="I10" s="520"/>
      <c r="J10" s="520"/>
      <c r="K10" s="521"/>
    </row>
    <row r="11" spans="1:11" ht="4.5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2"/>
    </row>
    <row r="12" spans="1:11" ht="24.75" customHeight="1">
      <c r="A12" s="526" t="s">
        <v>363</v>
      </c>
      <c r="B12" s="527"/>
      <c r="C12" s="527"/>
      <c r="D12" s="527"/>
      <c r="E12" s="527"/>
      <c r="F12" s="527"/>
      <c r="G12" s="527"/>
      <c r="H12" s="527"/>
      <c r="I12" s="527"/>
      <c r="J12" s="527"/>
      <c r="K12" s="528"/>
    </row>
    <row r="13" spans="1:11" ht="4.5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2"/>
    </row>
    <row r="14" spans="1:11" ht="15">
      <c r="A14" s="512" t="s">
        <v>32</v>
      </c>
      <c r="B14" s="512" t="s">
        <v>33</v>
      </c>
      <c r="C14" s="512" t="s">
        <v>44</v>
      </c>
      <c r="D14" s="512" t="s">
        <v>45</v>
      </c>
      <c r="E14" s="514" t="s">
        <v>46</v>
      </c>
      <c r="F14" s="515"/>
      <c r="G14" s="514" t="s">
        <v>47</v>
      </c>
      <c r="H14" s="515"/>
      <c r="I14" s="514" t="s">
        <v>52</v>
      </c>
      <c r="J14" s="515"/>
      <c r="K14" s="512" t="s">
        <v>31</v>
      </c>
    </row>
    <row r="15" spans="1:11" ht="15">
      <c r="A15" s="513"/>
      <c r="B15" s="513"/>
      <c r="C15" s="513"/>
      <c r="D15" s="513"/>
      <c r="E15" s="65" t="s">
        <v>48</v>
      </c>
      <c r="F15" s="65" t="s">
        <v>49</v>
      </c>
      <c r="G15" s="65" t="s">
        <v>48</v>
      </c>
      <c r="H15" s="65" t="s">
        <v>49</v>
      </c>
      <c r="I15" s="65" t="s">
        <v>48</v>
      </c>
      <c r="J15" s="65" t="s">
        <v>49</v>
      </c>
      <c r="K15" s="513"/>
    </row>
    <row r="16" spans="1:11" ht="4.5" customHeight="1">
      <c r="A16" s="74"/>
      <c r="B16" s="74"/>
      <c r="C16" s="75"/>
      <c r="D16" s="74"/>
      <c r="E16" s="75"/>
      <c r="F16" s="75"/>
      <c r="G16" s="75"/>
      <c r="H16" s="75"/>
      <c r="I16" s="75"/>
      <c r="J16" s="75"/>
      <c r="K16" s="74"/>
    </row>
    <row r="17" spans="1:11" ht="15">
      <c r="A17" s="133" t="s">
        <v>5</v>
      </c>
      <c r="B17" s="129" t="s">
        <v>111</v>
      </c>
      <c r="C17" s="132" t="e">
        <f>D17/$D$31</f>
        <v>#REF!</v>
      </c>
      <c r="D17" s="11" t="e">
        <f>REFORMA!K17+#REF!</f>
        <v>#REF!</v>
      </c>
      <c r="E17" s="11">
        <v>100</v>
      </c>
      <c r="F17" s="11" t="e">
        <f aca="true" t="shared" si="0" ref="F17:F29">E17*D17/100</f>
        <v>#REF!</v>
      </c>
      <c r="G17" s="11"/>
      <c r="H17" s="11" t="e">
        <f aca="true" t="shared" si="1" ref="H17:H29">G17*D17/100</f>
        <v>#REF!</v>
      </c>
      <c r="I17" s="11"/>
      <c r="J17" s="11" t="e">
        <f aca="true" t="shared" si="2" ref="J17:J29">I17*D17/100</f>
        <v>#REF!</v>
      </c>
      <c r="K17" s="12" t="e">
        <f aca="true" t="shared" si="3" ref="K17:K27">F17+H17+J17</f>
        <v>#REF!</v>
      </c>
    </row>
    <row r="18" spans="1:11" ht="15">
      <c r="A18" s="133" t="s">
        <v>7</v>
      </c>
      <c r="B18" s="129" t="s">
        <v>76</v>
      </c>
      <c r="C18" s="132" t="e">
        <f aca="true" t="shared" si="4" ref="C18:C29">D18/$D$31</f>
        <v>#REF!</v>
      </c>
      <c r="D18" s="11" t="e">
        <f>REFORMA!#REF!+#REF!</f>
        <v>#REF!</v>
      </c>
      <c r="E18" s="11">
        <v>100</v>
      </c>
      <c r="F18" s="11" t="e">
        <f t="shared" si="0"/>
        <v>#REF!</v>
      </c>
      <c r="G18" s="11"/>
      <c r="H18" s="11" t="e">
        <f t="shared" si="1"/>
        <v>#REF!</v>
      </c>
      <c r="I18" s="11"/>
      <c r="J18" s="11" t="e">
        <f t="shared" si="2"/>
        <v>#REF!</v>
      </c>
      <c r="K18" s="12" t="e">
        <f t="shared" si="3"/>
        <v>#REF!</v>
      </c>
    </row>
    <row r="19" spans="1:11" ht="15">
      <c r="A19" s="133" t="s">
        <v>9</v>
      </c>
      <c r="B19" s="129" t="s">
        <v>35</v>
      </c>
      <c r="C19" s="132" t="e">
        <f t="shared" si="4"/>
        <v>#REF!</v>
      </c>
      <c r="D19" s="11" t="e">
        <f>REFORMA!#REF!+#REF!</f>
        <v>#REF!</v>
      </c>
      <c r="E19" s="11">
        <v>100</v>
      </c>
      <c r="F19" s="11" t="e">
        <f t="shared" si="0"/>
        <v>#REF!</v>
      </c>
      <c r="G19" s="11"/>
      <c r="H19" s="11" t="e">
        <f t="shared" si="1"/>
        <v>#REF!</v>
      </c>
      <c r="I19" s="11">
        <v>0</v>
      </c>
      <c r="J19" s="11" t="e">
        <f t="shared" si="2"/>
        <v>#REF!</v>
      </c>
      <c r="K19" s="12" t="e">
        <f t="shared" si="3"/>
        <v>#REF!</v>
      </c>
    </row>
    <row r="20" spans="1:11" ht="15">
      <c r="A20" s="134" t="s">
        <v>11</v>
      </c>
      <c r="B20" s="135" t="s">
        <v>120</v>
      </c>
      <c r="C20" s="132" t="e">
        <f t="shared" si="4"/>
        <v>#REF!</v>
      </c>
      <c r="D20" s="11" t="e">
        <f>REFORMA!#REF!+#REF!</f>
        <v>#REF!</v>
      </c>
      <c r="E20" s="11">
        <v>50</v>
      </c>
      <c r="F20" s="11" t="e">
        <f t="shared" si="0"/>
        <v>#REF!</v>
      </c>
      <c r="G20" s="11">
        <v>50</v>
      </c>
      <c r="H20" s="11" t="e">
        <f t="shared" si="1"/>
        <v>#REF!</v>
      </c>
      <c r="I20" s="11"/>
      <c r="J20" s="11" t="e">
        <f t="shared" si="2"/>
        <v>#REF!</v>
      </c>
      <c r="K20" s="12" t="e">
        <f t="shared" si="3"/>
        <v>#REF!</v>
      </c>
    </row>
    <row r="21" spans="1:11" ht="15">
      <c r="A21" s="133" t="s">
        <v>12</v>
      </c>
      <c r="B21" s="129" t="s">
        <v>36</v>
      </c>
      <c r="C21" s="132" t="e">
        <f t="shared" si="4"/>
        <v>#REF!</v>
      </c>
      <c r="D21" s="11" t="e">
        <f>REFORMA!#REF!+#REF!</f>
        <v>#REF!</v>
      </c>
      <c r="E21" s="11">
        <v>30</v>
      </c>
      <c r="F21" s="11" t="e">
        <f t="shared" si="0"/>
        <v>#REF!</v>
      </c>
      <c r="G21" s="11">
        <v>50</v>
      </c>
      <c r="H21" s="11" t="e">
        <f t="shared" si="1"/>
        <v>#REF!</v>
      </c>
      <c r="I21" s="11">
        <v>20</v>
      </c>
      <c r="J21" s="11" t="e">
        <f t="shared" si="2"/>
        <v>#REF!</v>
      </c>
      <c r="K21" s="12" t="e">
        <f t="shared" si="3"/>
        <v>#REF!</v>
      </c>
    </row>
    <row r="22" spans="1:11" ht="15">
      <c r="A22" s="133" t="s">
        <v>16</v>
      </c>
      <c r="B22" s="129" t="s">
        <v>62</v>
      </c>
      <c r="C22" s="132" t="e">
        <f t="shared" si="4"/>
        <v>#REF!</v>
      </c>
      <c r="D22" s="11" t="e">
        <f>REFORMA!#REF!+#REF!</f>
        <v>#REF!</v>
      </c>
      <c r="E22" s="11">
        <v>60</v>
      </c>
      <c r="F22" s="11" t="e">
        <f t="shared" si="0"/>
        <v>#REF!</v>
      </c>
      <c r="G22" s="11">
        <v>20</v>
      </c>
      <c r="H22" s="11" t="e">
        <f t="shared" si="1"/>
        <v>#REF!</v>
      </c>
      <c r="I22" s="11">
        <v>20</v>
      </c>
      <c r="J22" s="11" t="e">
        <f t="shared" si="2"/>
        <v>#REF!</v>
      </c>
      <c r="K22" s="12" t="e">
        <f t="shared" si="3"/>
        <v>#REF!</v>
      </c>
    </row>
    <row r="23" spans="1:11" ht="15">
      <c r="A23" s="136" t="s">
        <v>17</v>
      </c>
      <c r="B23" s="130" t="s">
        <v>58</v>
      </c>
      <c r="C23" s="132" t="e">
        <f t="shared" si="4"/>
        <v>#REF!</v>
      </c>
      <c r="D23" s="11" t="e">
        <f>REFORMA!#REF!+#REF!</f>
        <v>#REF!</v>
      </c>
      <c r="E23" s="11">
        <v>60</v>
      </c>
      <c r="F23" s="11" t="e">
        <f t="shared" si="0"/>
        <v>#REF!</v>
      </c>
      <c r="G23" s="11">
        <v>20</v>
      </c>
      <c r="H23" s="11" t="e">
        <f t="shared" si="1"/>
        <v>#REF!</v>
      </c>
      <c r="I23" s="11">
        <v>20</v>
      </c>
      <c r="J23" s="11" t="e">
        <f t="shared" si="2"/>
        <v>#REF!</v>
      </c>
      <c r="K23" s="12" t="e">
        <f t="shared" si="3"/>
        <v>#REF!</v>
      </c>
    </row>
    <row r="24" spans="1:11" ht="15">
      <c r="A24" s="133" t="s">
        <v>21</v>
      </c>
      <c r="B24" s="130" t="s">
        <v>24</v>
      </c>
      <c r="C24" s="132" t="e">
        <f t="shared" si="4"/>
        <v>#REF!</v>
      </c>
      <c r="D24" s="11" t="e">
        <f>REFORMA!K37+#REF!</f>
        <v>#REF!</v>
      </c>
      <c r="E24" s="11">
        <v>50</v>
      </c>
      <c r="F24" s="11" t="e">
        <f t="shared" si="0"/>
        <v>#REF!</v>
      </c>
      <c r="G24" s="11">
        <v>50</v>
      </c>
      <c r="H24" s="11" t="e">
        <f t="shared" si="1"/>
        <v>#REF!</v>
      </c>
      <c r="I24" s="11"/>
      <c r="J24" s="11" t="e">
        <f t="shared" si="2"/>
        <v>#REF!</v>
      </c>
      <c r="K24" s="12" t="e">
        <f t="shared" si="3"/>
        <v>#REF!</v>
      </c>
    </row>
    <row r="25" spans="1:11" ht="15">
      <c r="A25" s="133" t="s">
        <v>39</v>
      </c>
      <c r="B25" s="130" t="s">
        <v>18</v>
      </c>
      <c r="C25" s="132" t="e">
        <f t="shared" si="4"/>
        <v>#REF!</v>
      </c>
      <c r="D25" s="11" t="e">
        <f>REFORMA!K41+#REF!</f>
        <v>#REF!</v>
      </c>
      <c r="E25" s="11">
        <v>0</v>
      </c>
      <c r="F25" s="11" t="e">
        <f t="shared" si="0"/>
        <v>#REF!</v>
      </c>
      <c r="G25" s="11">
        <v>20</v>
      </c>
      <c r="H25" s="11" t="e">
        <f t="shared" si="1"/>
        <v>#REF!</v>
      </c>
      <c r="I25" s="11">
        <v>80</v>
      </c>
      <c r="J25" s="11" t="e">
        <f t="shared" si="2"/>
        <v>#REF!</v>
      </c>
      <c r="K25" s="12" t="e">
        <f t="shared" si="3"/>
        <v>#REF!</v>
      </c>
    </row>
    <row r="26" spans="1:11" ht="15">
      <c r="A26" s="137" t="s">
        <v>82</v>
      </c>
      <c r="B26" s="129" t="s">
        <v>22</v>
      </c>
      <c r="C26" s="132" t="e">
        <f t="shared" si="4"/>
        <v>#REF!</v>
      </c>
      <c r="D26" s="11" t="e">
        <f>REFORMA!#REF!+#REF!</f>
        <v>#REF!</v>
      </c>
      <c r="E26" s="11">
        <v>0</v>
      </c>
      <c r="F26" s="11" t="e">
        <f t="shared" si="0"/>
        <v>#REF!</v>
      </c>
      <c r="G26" s="11"/>
      <c r="H26" s="11" t="e">
        <f t="shared" si="1"/>
        <v>#REF!</v>
      </c>
      <c r="I26" s="11">
        <v>100</v>
      </c>
      <c r="J26" s="11" t="e">
        <f t="shared" si="2"/>
        <v>#REF!</v>
      </c>
      <c r="K26" s="12" t="e">
        <f t="shared" si="3"/>
        <v>#REF!</v>
      </c>
    </row>
    <row r="27" spans="1:11" ht="15">
      <c r="A27" s="136" t="s">
        <v>83</v>
      </c>
      <c r="B27" s="129" t="s">
        <v>25</v>
      </c>
      <c r="C27" s="132" t="e">
        <f t="shared" si="4"/>
        <v>#REF!</v>
      </c>
      <c r="D27" s="11" t="e">
        <f>REFORMA!K51+#REF!</f>
        <v>#REF!</v>
      </c>
      <c r="E27" s="11">
        <v>0</v>
      </c>
      <c r="F27" s="11" t="e">
        <f t="shared" si="0"/>
        <v>#REF!</v>
      </c>
      <c r="G27" s="11"/>
      <c r="H27" s="11" t="e">
        <f t="shared" si="1"/>
        <v>#REF!</v>
      </c>
      <c r="I27" s="11">
        <v>100</v>
      </c>
      <c r="J27" s="11" t="e">
        <f t="shared" si="2"/>
        <v>#REF!</v>
      </c>
      <c r="K27" s="12" t="e">
        <f t="shared" si="3"/>
        <v>#REF!</v>
      </c>
    </row>
    <row r="28" spans="1:11" ht="15">
      <c r="A28" s="136" t="s">
        <v>55</v>
      </c>
      <c r="B28" s="129" t="s">
        <v>132</v>
      </c>
      <c r="C28" s="132" t="e">
        <f t="shared" si="4"/>
        <v>#REF!</v>
      </c>
      <c r="D28" s="11" t="e">
        <f>#REF!</f>
        <v>#REF!</v>
      </c>
      <c r="E28" s="11"/>
      <c r="F28" s="11" t="e">
        <f t="shared" si="0"/>
        <v>#REF!</v>
      </c>
      <c r="G28" s="11">
        <v>70</v>
      </c>
      <c r="H28" s="11" t="e">
        <f t="shared" si="1"/>
        <v>#REF!</v>
      </c>
      <c r="I28" s="11">
        <v>30</v>
      </c>
      <c r="J28" s="11" t="e">
        <f t="shared" si="2"/>
        <v>#REF!</v>
      </c>
      <c r="K28" s="12"/>
    </row>
    <row r="29" spans="1:11" ht="15">
      <c r="A29" s="291" t="s">
        <v>131</v>
      </c>
      <c r="B29" s="129" t="s">
        <v>26</v>
      </c>
      <c r="C29" s="132" t="e">
        <f t="shared" si="4"/>
        <v>#REF!</v>
      </c>
      <c r="D29" s="11" t="e">
        <f>REFORMA!#REF!+#REF!</f>
        <v>#REF!</v>
      </c>
      <c r="E29" s="11"/>
      <c r="F29" s="11" t="e">
        <f t="shared" si="0"/>
        <v>#REF!</v>
      </c>
      <c r="G29" s="11">
        <v>50</v>
      </c>
      <c r="H29" s="11" t="e">
        <f t="shared" si="1"/>
        <v>#REF!</v>
      </c>
      <c r="I29" s="11">
        <v>50</v>
      </c>
      <c r="J29" s="11" t="e">
        <f t="shared" si="2"/>
        <v>#REF!</v>
      </c>
      <c r="K29" s="12"/>
    </row>
    <row r="30" spans="1:11" ht="4.5" customHeight="1">
      <c r="A30" s="24"/>
      <c r="B30" s="20"/>
      <c r="C30" s="25"/>
      <c r="D30" s="22"/>
      <c r="E30" s="22"/>
      <c r="F30" s="22"/>
      <c r="G30" s="25"/>
      <c r="H30" s="22"/>
      <c r="I30" s="22"/>
      <c r="J30" s="22"/>
      <c r="K30" s="23"/>
    </row>
    <row r="31" spans="1:11" ht="15">
      <c r="A31" s="10"/>
      <c r="B31" s="31" t="s">
        <v>50</v>
      </c>
      <c r="D31" s="11" t="e">
        <f>SUM(D17:D29)</f>
        <v>#REF!</v>
      </c>
      <c r="E31" s="12" t="e">
        <f>F31/$D$31*100</f>
        <v>#REF!</v>
      </c>
      <c r="F31" s="12" t="e">
        <f>SUM(F17:F29)</f>
        <v>#REF!</v>
      </c>
      <c r="G31" s="12" t="e">
        <f>H31/$D$31*100</f>
        <v>#REF!</v>
      </c>
      <c r="H31" s="11" t="e">
        <f>SUM(H17:H29)</f>
        <v>#REF!</v>
      </c>
      <c r="I31" s="12" t="e">
        <f>J31/$D$31*100</f>
        <v>#REF!</v>
      </c>
      <c r="J31" s="12" t="e">
        <f>SUM(J17:J29)</f>
        <v>#REF!</v>
      </c>
      <c r="K31" s="12" t="e">
        <f>F31+H31+J31</f>
        <v>#REF!</v>
      </c>
    </row>
    <row r="32" spans="1:11" ht="4.5" customHeight="1">
      <c r="A32" s="20"/>
      <c r="B32" s="66"/>
      <c r="C32" s="21"/>
      <c r="D32" s="22"/>
      <c r="E32" s="23"/>
      <c r="F32" s="22"/>
      <c r="G32" s="21"/>
      <c r="H32" s="22"/>
      <c r="I32" s="22"/>
      <c r="J32" s="22"/>
      <c r="K32" s="22"/>
    </row>
    <row r="33" spans="1:11" ht="15">
      <c r="A33" s="10"/>
      <c r="B33" s="31" t="s">
        <v>51</v>
      </c>
      <c r="C33" s="77" t="e">
        <f>SUM(C17:C29)</f>
        <v>#REF!</v>
      </c>
      <c r="D33" s="13"/>
      <c r="E33" s="76" t="e">
        <f>F31/D31</f>
        <v>#REF!</v>
      </c>
      <c r="F33" s="14"/>
      <c r="G33" s="14" t="e">
        <f>H31/D31</f>
        <v>#REF!</v>
      </c>
      <c r="H33" s="14"/>
      <c r="I33" s="14" t="e">
        <f>J31/D31</f>
        <v>#REF!</v>
      </c>
      <c r="J33" s="14"/>
      <c r="K33" s="15" t="e">
        <f>E33+G33+I33</f>
        <v>#REF!</v>
      </c>
    </row>
    <row r="34" spans="1:11" ht="15">
      <c r="A34" s="78"/>
      <c r="B34" s="78"/>
      <c r="C34" s="79"/>
      <c r="D34" s="78"/>
      <c r="E34" s="79"/>
      <c r="F34" s="79"/>
      <c r="G34" s="79"/>
      <c r="H34" s="79"/>
      <c r="I34" s="79"/>
      <c r="J34" s="79"/>
      <c r="K34" s="79"/>
    </row>
    <row r="35" spans="1:11" ht="15">
      <c r="A35" s="78"/>
      <c r="B35" s="78"/>
      <c r="C35" s="79"/>
      <c r="D35" s="131"/>
      <c r="E35" s="79"/>
      <c r="F35" s="79"/>
      <c r="G35" s="79"/>
      <c r="H35" s="79"/>
      <c r="I35" s="79"/>
      <c r="J35" s="79"/>
      <c r="K35" s="79"/>
    </row>
    <row r="36" spans="1:11" ht="15" customHeight="1">
      <c r="A36" s="292"/>
      <c r="B36" s="292" t="e">
        <f>#REF!</f>
        <v>#REF!</v>
      </c>
      <c r="C36" s="80"/>
      <c r="D36" s="81"/>
      <c r="E36" s="82"/>
      <c r="F36" s="83"/>
      <c r="G36" s="82"/>
      <c r="H36" s="84"/>
      <c r="I36" s="84"/>
      <c r="J36" s="84"/>
      <c r="K36" s="79"/>
    </row>
    <row r="37" spans="1:11" ht="15">
      <c r="A37" s="85"/>
      <c r="B37" s="85"/>
      <c r="C37" s="80"/>
      <c r="D37" s="81"/>
      <c r="E37" s="82"/>
      <c r="F37" s="83"/>
      <c r="G37" s="82"/>
      <c r="H37" s="84"/>
      <c r="I37" s="84"/>
      <c r="J37" s="84"/>
      <c r="K37" s="79"/>
    </row>
    <row r="38" spans="1:11" ht="15">
      <c r="A38" s="86"/>
      <c r="B38" s="86"/>
      <c r="C38" s="87"/>
      <c r="D38" s="522"/>
      <c r="E38" s="522"/>
      <c r="F38" s="87"/>
      <c r="G38" s="293"/>
      <c r="H38" s="293"/>
      <c r="I38" s="89"/>
      <c r="J38" s="89"/>
      <c r="K38" s="78"/>
    </row>
    <row r="39" spans="1:11" ht="15">
      <c r="A39" s="86"/>
      <c r="B39" s="86"/>
      <c r="C39" s="87"/>
      <c r="D39" s="90"/>
      <c r="E39" s="90"/>
      <c r="F39" s="91"/>
      <c r="G39" s="92"/>
      <c r="H39" s="92"/>
      <c r="I39" s="516"/>
      <c r="J39" s="516"/>
      <c r="K39" s="79"/>
    </row>
    <row r="40" spans="1:11" ht="15">
      <c r="A40" s="9"/>
      <c r="B40" s="9"/>
      <c r="C40" s="8"/>
      <c r="D40" s="517"/>
      <c r="E40" s="517"/>
      <c r="F40" s="8"/>
      <c r="G40" s="32"/>
      <c r="H40" s="32"/>
      <c r="I40" s="518"/>
      <c r="J40" s="518"/>
      <c r="K40" s="16"/>
    </row>
  </sheetData>
  <sheetProtection/>
  <mergeCells count="20">
    <mergeCell ref="A9:D9"/>
    <mergeCell ref="E9:K9"/>
    <mergeCell ref="A10:D10"/>
    <mergeCell ref="E10:K10"/>
    <mergeCell ref="G14:H14"/>
    <mergeCell ref="I14:J14"/>
    <mergeCell ref="K14:K15"/>
    <mergeCell ref="C14:C15"/>
    <mergeCell ref="D14:D15"/>
    <mergeCell ref="E14:F14"/>
    <mergeCell ref="E2:K3"/>
    <mergeCell ref="E4:K5"/>
    <mergeCell ref="E6:K7"/>
    <mergeCell ref="D38:E38"/>
    <mergeCell ref="I39:J39"/>
    <mergeCell ref="D40:E40"/>
    <mergeCell ref="I40:J40"/>
    <mergeCell ref="A12:K12"/>
    <mergeCell ref="A14:A15"/>
    <mergeCell ref="B14:B1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08"/>
  <sheetViews>
    <sheetView view="pageBreakPreview" zoomScaleNormal="89" zoomScaleSheetLayoutView="100" zoomScalePageLayoutView="0" workbookViewId="0" topLeftCell="A34">
      <selection activeCell="E16" sqref="E16:G16"/>
    </sheetView>
  </sheetViews>
  <sheetFormatPr defaultColWidth="9.140625" defaultRowHeight="15"/>
  <cols>
    <col min="2" max="2" width="39.00390625" style="0" customWidth="1"/>
    <col min="3" max="3" width="21.421875" style="0" customWidth="1"/>
    <col min="5" max="5" width="19.00390625" style="0" customWidth="1"/>
    <col min="7" max="7" width="12.00390625" style="0" customWidth="1"/>
  </cols>
  <sheetData>
    <row r="3" spans="2:12" ht="15" customHeight="1">
      <c r="B3" s="59"/>
      <c r="C3" s="60"/>
      <c r="D3" s="587" t="s">
        <v>74</v>
      </c>
      <c r="E3" s="588"/>
      <c r="F3" s="588"/>
      <c r="G3" s="589"/>
      <c r="H3" s="94"/>
      <c r="I3" s="94"/>
      <c r="J3" s="94"/>
      <c r="K3" s="94"/>
      <c r="L3" s="94"/>
    </row>
    <row r="4" spans="2:12" ht="15" customHeight="1">
      <c r="B4" s="61"/>
      <c r="C4" s="62"/>
      <c r="D4" s="590"/>
      <c r="E4" s="591"/>
      <c r="F4" s="591"/>
      <c r="G4" s="592"/>
      <c r="H4" s="94"/>
      <c r="I4" s="94"/>
      <c r="J4" s="94"/>
      <c r="K4" s="94"/>
      <c r="L4" s="94"/>
    </row>
    <row r="5" spans="2:12" ht="15" customHeight="1">
      <c r="B5" s="61"/>
      <c r="C5" s="62"/>
      <c r="D5" s="593" t="s">
        <v>75</v>
      </c>
      <c r="E5" s="594"/>
      <c r="F5" s="594"/>
      <c r="G5" s="595"/>
      <c r="H5" s="591"/>
      <c r="I5" s="591"/>
      <c r="J5" s="591"/>
      <c r="K5" s="591"/>
      <c r="L5" s="591"/>
    </row>
    <row r="6" spans="2:12" ht="15" customHeight="1">
      <c r="B6" s="61"/>
      <c r="C6" s="62"/>
      <c r="D6" s="596"/>
      <c r="E6" s="597"/>
      <c r="F6" s="597"/>
      <c r="G6" s="598"/>
      <c r="H6" s="591"/>
      <c r="I6" s="591"/>
      <c r="J6" s="591"/>
      <c r="K6" s="591"/>
      <c r="L6" s="591"/>
    </row>
    <row r="7" spans="2:12" ht="15" customHeight="1">
      <c r="B7" s="61"/>
      <c r="C7" s="62"/>
      <c r="D7" s="599" t="s">
        <v>57</v>
      </c>
      <c r="E7" s="600"/>
      <c r="F7" s="600"/>
      <c r="G7" s="601"/>
      <c r="H7" s="591"/>
      <c r="I7" s="591"/>
      <c r="J7" s="591"/>
      <c r="K7" s="591"/>
      <c r="L7" s="591"/>
    </row>
    <row r="8" spans="2:12" ht="15" customHeight="1">
      <c r="B8" s="63"/>
      <c r="C8" s="64"/>
      <c r="D8" s="602"/>
      <c r="E8" s="603"/>
      <c r="F8" s="603"/>
      <c r="G8" s="604"/>
      <c r="H8" s="591"/>
      <c r="I8" s="591"/>
      <c r="J8" s="591"/>
      <c r="K8" s="591"/>
      <c r="L8" s="591"/>
    </row>
    <row r="9" spans="2:12" ht="4.5" customHeight="1">
      <c r="B9" s="17"/>
      <c r="C9" s="18"/>
      <c r="D9" s="18"/>
      <c r="E9" s="18"/>
      <c r="F9" s="17"/>
      <c r="G9" s="95"/>
      <c r="H9" s="96"/>
      <c r="I9" s="95"/>
      <c r="J9" s="95"/>
      <c r="K9" s="97"/>
      <c r="L9" s="26"/>
    </row>
    <row r="10" spans="2:12" ht="26.25" customHeight="1">
      <c r="B10" s="626" t="s">
        <v>548</v>
      </c>
      <c r="C10" s="627"/>
      <c r="D10" s="605" t="s">
        <v>547</v>
      </c>
      <c r="E10" s="605"/>
      <c r="F10" s="605"/>
      <c r="G10" s="605"/>
      <c r="H10" s="98"/>
      <c r="I10" s="98"/>
      <c r="J10" s="98"/>
      <c r="K10" s="98"/>
      <c r="L10" s="98"/>
    </row>
    <row r="11" spans="2:12" ht="4.5" customHeight="1" thickBot="1">
      <c r="B11" s="606"/>
      <c r="C11" s="607"/>
      <c r="D11" s="100"/>
      <c r="E11" s="100"/>
      <c r="F11" s="99"/>
      <c r="G11" s="101"/>
      <c r="H11" s="52"/>
      <c r="I11" s="101"/>
      <c r="J11" s="101"/>
      <c r="K11" s="102"/>
      <c r="L11" s="103"/>
    </row>
    <row r="12" spans="2:12" ht="18.75" thickBot="1">
      <c r="B12" s="608" t="s">
        <v>86</v>
      </c>
      <c r="C12" s="609"/>
      <c r="D12" s="609"/>
      <c r="E12" s="609"/>
      <c r="F12" s="609"/>
      <c r="G12" s="610"/>
      <c r="H12" s="104"/>
      <c r="I12" s="104"/>
      <c r="J12" s="104"/>
      <c r="K12" s="104"/>
      <c r="L12" s="104"/>
    </row>
    <row r="13" spans="2:12" ht="4.5" customHeight="1" thickBot="1">
      <c r="B13" s="3"/>
      <c r="C13" s="1"/>
      <c r="D13" s="1"/>
      <c r="E13" s="1"/>
      <c r="F13" s="2"/>
      <c r="G13" s="38"/>
      <c r="H13" s="53"/>
      <c r="I13" s="38"/>
      <c r="J13" s="38"/>
      <c r="K13" s="34"/>
      <c r="L13" s="29"/>
    </row>
    <row r="14" spans="1:24" ht="16.5" customHeight="1" thickBot="1">
      <c r="A14" s="105"/>
      <c r="B14" s="611" t="s">
        <v>87</v>
      </c>
      <c r="C14" s="612"/>
      <c r="D14" s="613"/>
      <c r="E14" s="614" t="s">
        <v>81</v>
      </c>
      <c r="F14" s="615"/>
      <c r="G14" s="616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16.5" thickBot="1">
      <c r="A15" s="105"/>
      <c r="B15" s="617" t="s">
        <v>88</v>
      </c>
      <c r="C15" s="618"/>
      <c r="D15" s="619"/>
      <c r="E15" s="623">
        <v>7</v>
      </c>
      <c r="F15" s="624"/>
      <c r="G15" s="625"/>
      <c r="H15" s="106">
        <f aca="true" t="shared" si="0" ref="H15:H22">E15/100</f>
        <v>0.07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ht="16.5" thickBot="1">
      <c r="A16" s="105"/>
      <c r="B16" s="617" t="s">
        <v>89</v>
      </c>
      <c r="C16" s="618"/>
      <c r="D16" s="619"/>
      <c r="E16" s="620">
        <v>3</v>
      </c>
      <c r="F16" s="621"/>
      <c r="G16" s="622"/>
      <c r="H16" s="106">
        <f t="shared" si="0"/>
        <v>0.03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ht="16.5" thickBot="1">
      <c r="A17" s="105"/>
      <c r="B17" s="617" t="s">
        <v>90</v>
      </c>
      <c r="C17" s="618"/>
      <c r="D17" s="619"/>
      <c r="E17" s="623">
        <v>1.23</v>
      </c>
      <c r="F17" s="624"/>
      <c r="G17" s="625"/>
      <c r="H17" s="106">
        <f t="shared" si="0"/>
        <v>0.0123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ht="16.5" thickBot="1">
      <c r="A18" s="105"/>
      <c r="B18" s="617" t="s">
        <v>80</v>
      </c>
      <c r="C18" s="618"/>
      <c r="D18" s="619"/>
      <c r="E18" s="620">
        <v>3</v>
      </c>
      <c r="F18" s="621"/>
      <c r="G18" s="622"/>
      <c r="H18" s="106">
        <f t="shared" si="0"/>
        <v>0.03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ht="16.5" thickBot="1">
      <c r="A19" s="105"/>
      <c r="B19" s="617" t="s">
        <v>79</v>
      </c>
      <c r="C19" s="618"/>
      <c r="D19" s="619"/>
      <c r="E19" s="620">
        <v>0.65</v>
      </c>
      <c r="F19" s="621"/>
      <c r="G19" s="622"/>
      <c r="H19" s="106">
        <f t="shared" si="0"/>
        <v>0.006500000000000001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ht="16.5" thickBot="1">
      <c r="A20" s="105"/>
      <c r="B20" s="617" t="s">
        <v>91</v>
      </c>
      <c r="C20" s="618"/>
      <c r="D20" s="619"/>
      <c r="E20" s="620">
        <v>2</v>
      </c>
      <c r="F20" s="621"/>
      <c r="G20" s="622"/>
      <c r="H20" s="106">
        <f t="shared" si="0"/>
        <v>0.02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ht="16.5" thickBot="1">
      <c r="A21" s="105"/>
      <c r="B21" s="617" t="s">
        <v>92</v>
      </c>
      <c r="C21" s="618"/>
      <c r="D21" s="619"/>
      <c r="E21" s="620">
        <v>3</v>
      </c>
      <c r="F21" s="621"/>
      <c r="G21" s="622"/>
      <c r="H21" s="106">
        <f t="shared" si="0"/>
        <v>0.03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ht="16.5" thickBot="1">
      <c r="A22" s="105"/>
      <c r="B22" s="617" t="s">
        <v>93</v>
      </c>
      <c r="C22" s="618"/>
      <c r="D22" s="619"/>
      <c r="E22" s="620">
        <f>0.8+1.27</f>
        <v>2.0700000000000003</v>
      </c>
      <c r="F22" s="621"/>
      <c r="G22" s="622"/>
      <c r="H22" s="106">
        <f t="shared" si="0"/>
        <v>0.020700000000000003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ht="15.75">
      <c r="A23" s="105"/>
      <c r="B23" s="107"/>
      <c r="C23" s="108"/>
      <c r="D23" s="109"/>
      <c r="E23" s="93"/>
      <c r="F23" s="93"/>
      <c r="G23" s="93"/>
      <c r="H23" s="110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ht="15.75">
      <c r="A24" s="105"/>
      <c r="B24" s="107"/>
      <c r="C24" s="628"/>
      <c r="D24" s="628"/>
      <c r="E24" s="628"/>
      <c r="F24" s="93"/>
      <c r="G24" s="93"/>
      <c r="H24" s="110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5.75">
      <c r="A25" s="105"/>
      <c r="B25" s="107"/>
      <c r="C25" s="108"/>
      <c r="D25" s="109"/>
      <c r="E25" s="93"/>
      <c r="F25" s="93"/>
      <c r="G25" s="93"/>
      <c r="H25" s="110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ht="15.75">
      <c r="A26" s="105"/>
      <c r="B26" s="107"/>
      <c r="C26" s="108"/>
      <c r="D26" s="109"/>
      <c r="E26" s="93"/>
      <c r="F26" s="93"/>
      <c r="G26" s="93"/>
      <c r="H26" s="110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15">
      <c r="A27" s="105"/>
      <c r="B27" s="111"/>
      <c r="C27" s="112"/>
      <c r="D27" s="109"/>
      <c r="E27" s="93"/>
      <c r="F27" s="93"/>
      <c r="G27" s="93"/>
      <c r="H27" s="110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ht="15">
      <c r="A28" s="105"/>
      <c r="B28" s="111"/>
      <c r="C28" s="112"/>
      <c r="D28" s="109"/>
      <c r="E28" s="93"/>
      <c r="F28" s="93"/>
      <c r="G28" s="93"/>
      <c r="H28" s="110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ht="18.75">
      <c r="A29" s="105"/>
      <c r="B29" s="111"/>
      <c r="C29" s="112"/>
      <c r="D29" s="109"/>
      <c r="E29" s="93"/>
      <c r="F29" s="93"/>
      <c r="G29" s="93"/>
      <c r="H29" s="113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ht="18.75">
      <c r="A30" s="105"/>
      <c r="B30" s="114"/>
      <c r="C30" s="115"/>
      <c r="D30" s="93"/>
      <c r="E30" s="93"/>
      <c r="F30" s="93"/>
      <c r="G30" s="93"/>
      <c r="H30" s="113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 ht="18.75">
      <c r="A31" s="105"/>
      <c r="B31" s="114"/>
      <c r="C31" s="115"/>
      <c r="D31" s="93"/>
      <c r="E31" s="93"/>
      <c r="F31" s="93"/>
      <c r="G31" s="93"/>
      <c r="H31" s="113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ht="18.75">
      <c r="A32" s="105"/>
      <c r="B32" s="114"/>
      <c r="C32" s="115"/>
      <c r="D32" s="93"/>
      <c r="E32" s="93"/>
      <c r="F32" s="93"/>
      <c r="G32" s="93"/>
      <c r="H32" s="113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ht="18.75">
      <c r="A33" s="105"/>
      <c r="B33" s="114"/>
      <c r="C33" s="115"/>
      <c r="D33" s="93"/>
      <c r="E33" s="93"/>
      <c r="F33" s="93"/>
      <c r="G33" s="93"/>
      <c r="H33" s="113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ht="18.75">
      <c r="A34" s="105"/>
      <c r="B34" s="114"/>
      <c r="C34" s="115"/>
      <c r="D34" s="93"/>
      <c r="E34" s="93"/>
      <c r="F34" s="93"/>
      <c r="G34" s="93"/>
      <c r="H34" s="113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ht="18.75">
      <c r="A35" s="105"/>
      <c r="B35" s="114"/>
      <c r="C35" s="115"/>
      <c r="D35" s="93"/>
      <c r="E35" s="93"/>
      <c r="F35" s="93"/>
      <c r="G35" s="93"/>
      <c r="H35" s="113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spans="1:24" ht="18.75">
      <c r="A36" s="105"/>
      <c r="B36" s="114"/>
      <c r="C36" s="115"/>
      <c r="D36" s="93"/>
      <c r="E36" s="93"/>
      <c r="F36" s="93"/>
      <c r="G36" s="93"/>
      <c r="H36" s="113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ht="18.75">
      <c r="A37" s="105"/>
      <c r="B37" s="114"/>
      <c r="C37" s="115"/>
      <c r="D37" s="93"/>
      <c r="E37" s="93"/>
      <c r="F37" s="93"/>
      <c r="G37" s="93"/>
      <c r="H37" s="113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ht="18.75">
      <c r="A38" s="105"/>
      <c r="B38" s="114"/>
      <c r="C38" s="115"/>
      <c r="D38" s="93"/>
      <c r="E38" s="93"/>
      <c r="F38" s="93"/>
      <c r="G38" s="93"/>
      <c r="H38" s="113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18.75">
      <c r="A39" s="105"/>
      <c r="B39" s="116" t="s">
        <v>94</v>
      </c>
      <c r="C39" s="117">
        <f>(E16+E22)</f>
        <v>5.07</v>
      </c>
      <c r="D39" s="93"/>
      <c r="E39" s="93"/>
      <c r="F39" s="93"/>
      <c r="G39" s="93"/>
      <c r="H39" s="113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ht="18.75">
      <c r="A40" s="105"/>
      <c r="B40" s="116" t="s">
        <v>95</v>
      </c>
      <c r="C40" s="117">
        <f>E17</f>
        <v>1.23</v>
      </c>
      <c r="D40" s="93"/>
      <c r="E40" s="93"/>
      <c r="F40" s="93"/>
      <c r="G40" s="93"/>
      <c r="H40" s="113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1:24" ht="18.75">
      <c r="A41" s="105"/>
      <c r="B41" s="116" t="s">
        <v>96</v>
      </c>
      <c r="C41" s="117">
        <f>E15</f>
        <v>7</v>
      </c>
      <c r="D41" s="93"/>
      <c r="E41" s="93"/>
      <c r="F41" s="93"/>
      <c r="G41" s="93"/>
      <c r="H41" s="113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ht="18.75">
      <c r="A42" s="105"/>
      <c r="B42" s="116" t="s">
        <v>97</v>
      </c>
      <c r="C42" s="117">
        <f>(E18+E19+E20+E21)</f>
        <v>8.65</v>
      </c>
      <c r="D42" s="93"/>
      <c r="E42" s="93"/>
      <c r="F42" s="93"/>
      <c r="G42" s="93"/>
      <c r="H42" s="113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1:24" ht="18.75">
      <c r="A43" s="105"/>
      <c r="B43" s="93" t="s">
        <v>98</v>
      </c>
      <c r="C43" s="93"/>
      <c r="D43" s="93"/>
      <c r="E43" s="93"/>
      <c r="F43" s="93"/>
      <c r="G43" s="93"/>
      <c r="H43" s="113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ht="19.5" thickBot="1">
      <c r="A44" s="105"/>
      <c r="B44" s="93"/>
      <c r="C44" s="93"/>
      <c r="D44" s="93"/>
      <c r="E44" s="93"/>
      <c r="F44" s="93"/>
      <c r="G44" s="93"/>
      <c r="H44" s="113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1:24" ht="19.5" thickBot="1">
      <c r="A45" s="105"/>
      <c r="B45" s="118"/>
      <c r="C45" s="119" t="s">
        <v>99</v>
      </c>
      <c r="D45" s="120">
        <f>ROUND((((((1+H16+H22)*(1+H17)*(1+H15))/(1-(H18+H19+H20+H21)))-1))*100,2)</f>
        <v>24.58</v>
      </c>
      <c r="E45" s="121"/>
      <c r="F45" s="121"/>
      <c r="G45" s="122"/>
      <c r="H45" s="113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ht="18.75">
      <c r="A46" s="105"/>
      <c r="B46" s="477" t="s">
        <v>551</v>
      </c>
      <c r="C46" s="93"/>
      <c r="D46" s="93"/>
      <c r="E46" s="93"/>
      <c r="F46" s="93"/>
      <c r="G46" s="93"/>
      <c r="H46" s="113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ht="18.75">
      <c r="A47" s="105"/>
      <c r="B47" s="105"/>
      <c r="C47" s="105"/>
      <c r="D47" s="105"/>
      <c r="E47" s="105"/>
      <c r="F47" s="105"/>
      <c r="G47" s="105"/>
      <c r="H47" s="113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ht="18.75">
      <c r="A48" s="105"/>
      <c r="B48" s="105"/>
      <c r="C48" s="105"/>
      <c r="D48" s="105"/>
      <c r="E48" s="105"/>
      <c r="F48" s="105"/>
      <c r="G48" s="105"/>
      <c r="H48" s="113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ht="18.75">
      <c r="A49" s="105"/>
      <c r="B49" s="105"/>
      <c r="C49" s="105"/>
      <c r="D49" s="105"/>
      <c r="E49" s="105"/>
      <c r="F49" s="105"/>
      <c r="G49" s="105"/>
      <c r="H49" s="113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ht="18.75">
      <c r="A50" s="105"/>
      <c r="B50" s="105"/>
      <c r="C50" s="105"/>
      <c r="D50" s="105"/>
      <c r="E50" s="105"/>
      <c r="F50" s="105"/>
      <c r="G50" s="105"/>
      <c r="H50" s="113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ht="18.75">
      <c r="A51" s="105"/>
      <c r="B51" s="105"/>
      <c r="C51" s="105"/>
      <c r="D51" s="105"/>
      <c r="E51" s="105"/>
      <c r="F51" s="105"/>
      <c r="G51" s="105"/>
      <c r="H51" s="113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ht="18.75">
      <c r="A52" s="105"/>
      <c r="B52" s="105"/>
      <c r="C52" s="105"/>
      <c r="D52" s="105"/>
      <c r="E52" s="105"/>
      <c r="F52" s="105"/>
      <c r="G52" s="105"/>
      <c r="H52" s="113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1:24" ht="18.75">
      <c r="A53" s="105"/>
      <c r="B53" s="105"/>
      <c r="C53" s="105"/>
      <c r="D53" s="105"/>
      <c r="E53" s="105"/>
      <c r="F53" s="105"/>
      <c r="G53" s="105"/>
      <c r="H53" s="113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ht="18.75">
      <c r="A54" s="105"/>
      <c r="B54" s="105"/>
      <c r="C54" s="105"/>
      <c r="D54" s="105"/>
      <c r="E54" s="105"/>
      <c r="F54" s="105"/>
      <c r="G54" s="105"/>
      <c r="H54" s="113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ht="18.75">
      <c r="A55" s="105"/>
      <c r="B55" s="105"/>
      <c r="C55" s="105"/>
      <c r="D55" s="105"/>
      <c r="E55" s="105"/>
      <c r="F55" s="105"/>
      <c r="G55" s="105"/>
      <c r="H55" s="113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1:24" ht="15">
      <c r="A56" s="105"/>
      <c r="B56" s="105"/>
      <c r="C56" s="105"/>
      <c r="D56" s="105"/>
      <c r="E56" s="105"/>
      <c r="F56" s="105"/>
      <c r="G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1:24" ht="18.75">
      <c r="A57" s="105"/>
      <c r="B57" s="105"/>
      <c r="C57" s="105"/>
      <c r="D57" s="105"/>
      <c r="E57" s="105"/>
      <c r="F57" s="105"/>
      <c r="G57" s="105"/>
      <c r="H57" s="113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1:24" ht="18.75">
      <c r="A58" s="105"/>
      <c r="B58" s="105"/>
      <c r="C58" s="105"/>
      <c r="D58" s="105"/>
      <c r="E58" s="105"/>
      <c r="F58" s="105"/>
      <c r="G58" s="105"/>
      <c r="H58" s="113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1:24" ht="18.75">
      <c r="A59" s="105"/>
      <c r="B59" s="105"/>
      <c r="C59" s="105"/>
      <c r="D59" s="105"/>
      <c r="E59" s="105"/>
      <c r="F59" s="105"/>
      <c r="G59" s="105"/>
      <c r="H59" s="113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24" ht="1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24" ht="1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ht="1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ht="1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ht="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1:24" ht="1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1:24" ht="1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1:24" ht="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1:24" ht="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</row>
    <row r="70" spans="1:24" ht="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</row>
    <row r="71" spans="1:24" ht="1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</row>
    <row r="72" spans="1:24" ht="1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</row>
    <row r="73" spans="1:24" ht="1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</row>
    <row r="74" spans="1:24" ht="1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</row>
    <row r="75" spans="1:24" ht="1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</row>
    <row r="76" spans="1:24" ht="1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</row>
    <row r="77" spans="1:24" ht="1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ht="1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ht="1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1:24" ht="1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spans="1:24" ht="1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spans="1:24" ht="1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</row>
    <row r="83" spans="1:24" ht="1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</row>
    <row r="84" spans="1:24" ht="1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spans="1:24" ht="1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</row>
    <row r="86" spans="1:24" ht="1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</row>
    <row r="87" spans="1:24" ht="1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</row>
    <row r="88" spans="1:24" ht="1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</row>
    <row r="89" spans="1:24" ht="1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</row>
    <row r="90" spans="1:24" ht="1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</row>
    <row r="91" spans="1:24" ht="1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</row>
    <row r="92" spans="1:24" ht="1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</row>
    <row r="93" spans="1:24" ht="1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</row>
    <row r="94" spans="1:24" ht="1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</row>
    <row r="95" spans="1:24" ht="1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</row>
    <row r="96" spans="1:24" ht="1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</row>
    <row r="97" spans="1:24" ht="1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</row>
    <row r="98" spans="1:24" ht="1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</row>
    <row r="99" spans="1:24" ht="1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</row>
    <row r="100" spans="1:24" ht="1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</row>
    <row r="101" spans="1:24" ht="1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</row>
    <row r="102" spans="1:24" ht="1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</row>
    <row r="103" spans="1:24" ht="1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</row>
    <row r="104" spans="1:24" ht="1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</row>
    <row r="105" spans="1:24" ht="1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</row>
    <row r="106" spans="1:24" ht="1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</row>
    <row r="107" spans="1:24" ht="1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</row>
    <row r="108" spans="1:24" ht="1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</row>
  </sheetData>
  <sheetProtection/>
  <mergeCells count="30">
    <mergeCell ref="C24:E24"/>
    <mergeCell ref="B20:D20"/>
    <mergeCell ref="E20:G20"/>
    <mergeCell ref="B21:D21"/>
    <mergeCell ref="E21:G21"/>
    <mergeCell ref="B22:D22"/>
    <mergeCell ref="E22:G22"/>
    <mergeCell ref="B17:D17"/>
    <mergeCell ref="E17:G17"/>
    <mergeCell ref="B19:D19"/>
    <mergeCell ref="E19:G19"/>
    <mergeCell ref="B18:D18"/>
    <mergeCell ref="E18:G18"/>
    <mergeCell ref="D10:G10"/>
    <mergeCell ref="B11:C11"/>
    <mergeCell ref="B12:G12"/>
    <mergeCell ref="B14:D14"/>
    <mergeCell ref="E14:G14"/>
    <mergeCell ref="B16:D16"/>
    <mergeCell ref="E16:G16"/>
    <mergeCell ref="B15:D15"/>
    <mergeCell ref="E15:G15"/>
    <mergeCell ref="B10:C10"/>
    <mergeCell ref="D3:G4"/>
    <mergeCell ref="D5:G6"/>
    <mergeCell ref="H5:K6"/>
    <mergeCell ref="L5:L6"/>
    <mergeCell ref="D7:G8"/>
    <mergeCell ref="H7:K8"/>
    <mergeCell ref="L7:L8"/>
  </mergeCells>
  <printOptions/>
  <pageMargins left="0.511811024" right="0.511811024" top="0.787401575" bottom="0.787401575" header="0.31496062" footer="0.31496062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180"/>
  <sheetViews>
    <sheetView zoomScale="70" zoomScaleNormal="70" zoomScalePageLayoutView="0" workbookViewId="0" topLeftCell="B1">
      <pane ySplit="14" topLeftCell="A153" activePane="bottomLeft" state="frozen"/>
      <selection pane="topLeft" activeCell="A1" sqref="A1"/>
      <selection pane="bottomLeft" activeCell="G185" sqref="G185"/>
    </sheetView>
  </sheetViews>
  <sheetFormatPr defaultColWidth="9.140625" defaultRowHeight="15"/>
  <cols>
    <col min="1" max="1" width="9.140625" style="321" customWidth="1"/>
    <col min="2" max="2" width="11.421875" style="321" customWidth="1"/>
    <col min="3" max="3" width="56.8515625" style="321" customWidth="1"/>
    <col min="4" max="4" width="8.140625" style="321" customWidth="1"/>
    <col min="5" max="5" width="53.421875" style="321" customWidth="1"/>
    <col min="6" max="6" width="29.421875" style="321" customWidth="1"/>
    <col min="7" max="10" width="16.7109375" style="321" customWidth="1"/>
    <col min="11" max="11" width="17.421875" style="321" customWidth="1"/>
    <col min="12" max="12" width="16.7109375" style="321" customWidth="1"/>
    <col min="13" max="13" width="9.140625" style="321" customWidth="1"/>
    <col min="14" max="14" width="17.140625" style="321" customWidth="1"/>
    <col min="15" max="17" width="9.140625" style="321" customWidth="1"/>
    <col min="18" max="18" width="15.00390625" style="321" customWidth="1"/>
    <col min="19" max="16384" width="9.140625" style="321" customWidth="1"/>
  </cols>
  <sheetData>
    <row r="1" spans="2:14" ht="15.75" customHeight="1">
      <c r="B1" s="316"/>
      <c r="C1" s="317"/>
      <c r="D1" s="317"/>
      <c r="E1" s="317"/>
      <c r="F1" s="317"/>
      <c r="G1" s="318"/>
      <c r="H1" s="319"/>
      <c r="I1" s="319"/>
      <c r="J1" s="320"/>
      <c r="K1" s="320"/>
      <c r="L1" s="317"/>
      <c r="M1" s="317"/>
      <c r="N1" s="317"/>
    </row>
    <row r="2" spans="2:14" ht="18" customHeight="1" hidden="1">
      <c r="B2" s="630"/>
      <c r="C2" s="631"/>
      <c r="D2" s="630"/>
      <c r="E2" s="631"/>
      <c r="F2" s="636" t="s">
        <v>74</v>
      </c>
      <c r="G2" s="636"/>
      <c r="H2" s="636"/>
      <c r="I2" s="636"/>
      <c r="J2" s="636"/>
      <c r="K2" s="636"/>
      <c r="L2" s="637"/>
      <c r="M2" s="311"/>
      <c r="N2" s="311"/>
    </row>
    <row r="3" spans="2:14" ht="18" customHeight="1" hidden="1">
      <c r="B3" s="632"/>
      <c r="C3" s="633"/>
      <c r="D3" s="632"/>
      <c r="E3" s="633"/>
      <c r="F3" s="638"/>
      <c r="G3" s="638"/>
      <c r="H3" s="638"/>
      <c r="I3" s="638"/>
      <c r="J3" s="638"/>
      <c r="K3" s="638"/>
      <c r="L3" s="639"/>
      <c r="M3" s="311"/>
      <c r="N3" s="311"/>
    </row>
    <row r="4" spans="2:14" ht="18" customHeight="1" hidden="1">
      <c r="B4" s="632"/>
      <c r="C4" s="633"/>
      <c r="D4" s="632"/>
      <c r="E4" s="633"/>
      <c r="F4" s="640" t="s">
        <v>75</v>
      </c>
      <c r="G4" s="640"/>
      <c r="H4" s="640"/>
      <c r="I4" s="640"/>
      <c r="J4" s="640"/>
      <c r="K4" s="640"/>
      <c r="L4" s="641"/>
      <c r="M4" s="312"/>
      <c r="N4" s="312"/>
    </row>
    <row r="5" spans="2:14" ht="18" customHeight="1" hidden="1">
      <c r="B5" s="632"/>
      <c r="C5" s="633"/>
      <c r="D5" s="632"/>
      <c r="E5" s="633"/>
      <c r="F5" s="642"/>
      <c r="G5" s="642"/>
      <c r="H5" s="642"/>
      <c r="I5" s="642"/>
      <c r="J5" s="642"/>
      <c r="K5" s="642"/>
      <c r="L5" s="643"/>
      <c r="M5" s="312"/>
      <c r="N5" s="312"/>
    </row>
    <row r="6" spans="2:14" ht="18" customHeight="1" hidden="1">
      <c r="B6" s="632"/>
      <c r="C6" s="633"/>
      <c r="D6" s="632"/>
      <c r="E6" s="633"/>
      <c r="F6" s="588" t="s">
        <v>57</v>
      </c>
      <c r="G6" s="588"/>
      <c r="H6" s="588"/>
      <c r="I6" s="588"/>
      <c r="J6" s="588"/>
      <c r="K6" s="588"/>
      <c r="L6" s="589"/>
      <c r="M6" s="313"/>
      <c r="N6" s="313"/>
    </row>
    <row r="7" spans="2:20" ht="18" customHeight="1" hidden="1">
      <c r="B7" s="634"/>
      <c r="C7" s="635"/>
      <c r="D7" s="634"/>
      <c r="E7" s="635"/>
      <c r="F7" s="644"/>
      <c r="G7" s="644"/>
      <c r="H7" s="644"/>
      <c r="I7" s="644"/>
      <c r="J7" s="644"/>
      <c r="K7" s="644"/>
      <c r="L7" s="645"/>
      <c r="M7" s="313"/>
      <c r="N7" s="313"/>
      <c r="Q7" s="646"/>
      <c r="R7" s="646"/>
      <c r="S7" s="646"/>
      <c r="T7" s="646"/>
    </row>
    <row r="8" spans="2:20" s="325" customFormat="1" ht="4.5" customHeight="1" hidden="1">
      <c r="B8" s="322"/>
      <c r="C8" s="322"/>
      <c r="D8" s="322"/>
      <c r="E8" s="322"/>
      <c r="F8" s="323"/>
      <c r="G8" s="323"/>
      <c r="H8" s="323"/>
      <c r="I8" s="323"/>
      <c r="J8" s="323"/>
      <c r="K8" s="323"/>
      <c r="L8" s="323"/>
      <c r="M8" s="324"/>
      <c r="N8" s="324"/>
      <c r="Q8" s="646"/>
      <c r="R8" s="646"/>
      <c r="S8" s="646"/>
      <c r="T8" s="646"/>
    </row>
    <row r="9" spans="2:20" ht="24" customHeight="1" hidden="1">
      <c r="B9" s="647" t="s">
        <v>396</v>
      </c>
      <c r="C9" s="647"/>
      <c r="D9" s="647"/>
      <c r="E9" s="647"/>
      <c r="F9" s="648" t="s">
        <v>413</v>
      </c>
      <c r="G9" s="648"/>
      <c r="H9" s="648"/>
      <c r="I9" s="648"/>
      <c r="J9" s="648"/>
      <c r="K9" s="648"/>
      <c r="L9" s="648"/>
      <c r="M9" s="326"/>
      <c r="N9" s="326"/>
      <c r="Q9" s="646"/>
      <c r="R9" s="646"/>
      <c r="S9" s="646"/>
      <c r="T9" s="646"/>
    </row>
    <row r="10" spans="2:20" ht="24" customHeight="1" hidden="1">
      <c r="B10" s="649" t="s">
        <v>397</v>
      </c>
      <c r="C10" s="647"/>
      <c r="D10" s="647"/>
      <c r="E10" s="647"/>
      <c r="F10" s="650" t="s">
        <v>398</v>
      </c>
      <c r="G10" s="650"/>
      <c r="H10" s="650"/>
      <c r="I10" s="650"/>
      <c r="J10" s="650"/>
      <c r="K10" s="650"/>
      <c r="L10" s="650"/>
      <c r="M10" s="327"/>
      <c r="N10" s="327"/>
      <c r="Q10" s="646"/>
      <c r="R10" s="646"/>
      <c r="S10" s="646"/>
      <c r="T10" s="646"/>
    </row>
    <row r="11" spans="2:20" ht="4.5" customHeight="1" hidden="1" thickBot="1">
      <c r="B11" s="328"/>
      <c r="C11" s="329"/>
      <c r="D11" s="329"/>
      <c r="E11" s="329"/>
      <c r="F11" s="329"/>
      <c r="G11" s="329"/>
      <c r="H11" s="329"/>
      <c r="I11" s="329"/>
      <c r="J11" s="329"/>
      <c r="K11" s="329"/>
      <c r="L11" s="330"/>
      <c r="Q11" s="646"/>
      <c r="R11" s="646"/>
      <c r="S11" s="646"/>
      <c r="T11" s="646"/>
    </row>
    <row r="12" spans="2:20" ht="24.75" customHeight="1" hidden="1" thickBot="1">
      <c r="B12" s="651" t="s">
        <v>399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3"/>
      <c r="M12" s="331"/>
      <c r="N12" s="331"/>
      <c r="Q12" s="646"/>
      <c r="R12" s="646"/>
      <c r="S12" s="646"/>
      <c r="T12" s="646"/>
    </row>
    <row r="13" spans="2:20" ht="4.5" customHeight="1"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1"/>
      <c r="N13" s="331"/>
      <c r="Q13" s="646"/>
      <c r="R13" s="646"/>
      <c r="S13" s="646"/>
      <c r="T13" s="646"/>
    </row>
    <row r="14" spans="2:20" ht="18" customHeight="1">
      <c r="B14" s="333" t="s">
        <v>32</v>
      </c>
      <c r="C14" s="334" t="s">
        <v>33</v>
      </c>
      <c r="D14" s="334" t="s">
        <v>400</v>
      </c>
      <c r="E14" s="335" t="s">
        <v>401</v>
      </c>
      <c r="F14" s="336" t="s">
        <v>402</v>
      </c>
      <c r="G14" s="336" t="s">
        <v>403</v>
      </c>
      <c r="H14" s="336" t="s">
        <v>236</v>
      </c>
      <c r="I14" s="337" t="s">
        <v>404</v>
      </c>
      <c r="J14" s="336" t="s">
        <v>405</v>
      </c>
      <c r="K14" s="337" t="s">
        <v>406</v>
      </c>
      <c r="L14" s="338" t="s">
        <v>31</v>
      </c>
      <c r="M14" s="331"/>
      <c r="N14" s="331"/>
      <c r="Q14" s="646"/>
      <c r="R14" s="646"/>
      <c r="S14" s="646"/>
      <c r="T14" s="646"/>
    </row>
    <row r="15" spans="2:20" s="325" customFormat="1" ht="4.5" customHeight="1">
      <c r="B15" s="339"/>
      <c r="C15" s="339"/>
      <c r="D15" s="339"/>
      <c r="E15" s="339"/>
      <c r="F15" s="340"/>
      <c r="G15" s="340"/>
      <c r="H15" s="340"/>
      <c r="I15" s="340"/>
      <c r="J15" s="340"/>
      <c r="K15" s="340"/>
      <c r="L15" s="340"/>
      <c r="M15" s="341"/>
      <c r="N15" s="341"/>
      <c r="Q15" s="646"/>
      <c r="R15" s="646"/>
      <c r="S15" s="646"/>
      <c r="T15" s="646"/>
    </row>
    <row r="16" spans="2:20" s="325" customFormat="1" ht="18" customHeight="1">
      <c r="B16" s="342" t="s">
        <v>5</v>
      </c>
      <c r="C16" s="334" t="str">
        <f>REFORMA!C17</f>
        <v>SERVIÇOS PRELIMINARES</v>
      </c>
      <c r="D16" s="334"/>
      <c r="E16" s="335"/>
      <c r="F16" s="337"/>
      <c r="G16" s="337"/>
      <c r="H16" s="337"/>
      <c r="I16" s="337"/>
      <c r="J16" s="337"/>
      <c r="K16" s="337"/>
      <c r="L16" s="338"/>
      <c r="M16" s="341"/>
      <c r="N16" s="341"/>
      <c r="Q16" s="314"/>
      <c r="R16" s="314"/>
      <c r="S16" s="314"/>
      <c r="T16" s="314"/>
    </row>
    <row r="17" spans="2:20" s="325" customFormat="1" ht="18" customHeight="1">
      <c r="B17" s="343" t="s">
        <v>6</v>
      </c>
      <c r="C17" s="344" t="str">
        <f>REFORMA!C18</f>
        <v>Retirada de revestimento cerâmico</v>
      </c>
      <c r="D17" s="345" t="s">
        <v>407</v>
      </c>
      <c r="E17" s="346"/>
      <c r="F17" s="347"/>
      <c r="G17" s="347"/>
      <c r="H17" s="347"/>
      <c r="I17" s="347"/>
      <c r="J17" s="347"/>
      <c r="K17" s="347"/>
      <c r="L17" s="348"/>
      <c r="M17" s="341"/>
      <c r="N17" s="341"/>
      <c r="Q17" s="314"/>
      <c r="R17" s="314"/>
      <c r="S17" s="314"/>
      <c r="T17" s="314"/>
    </row>
    <row r="18" spans="2:20" s="325" customFormat="1" ht="18" customHeight="1">
      <c r="B18" s="349"/>
      <c r="C18" s="350"/>
      <c r="D18" s="351"/>
      <c r="E18" s="350" t="s">
        <v>422</v>
      </c>
      <c r="F18" s="352">
        <f>4.3+4.3</f>
        <v>8.6</v>
      </c>
      <c r="G18" s="352">
        <f>2.05</f>
        <v>2.05</v>
      </c>
      <c r="H18" s="352">
        <v>3</v>
      </c>
      <c r="I18" s="394">
        <f>(F18+G18)*H18</f>
        <v>31.949999999999996</v>
      </c>
      <c r="J18" s="352"/>
      <c r="K18" s="353"/>
      <c r="L18" s="354">
        <f>I18</f>
        <v>31.949999999999996</v>
      </c>
      <c r="M18" s="341"/>
      <c r="N18" s="341"/>
      <c r="Q18" s="314"/>
      <c r="R18" s="314"/>
      <c r="S18" s="314"/>
      <c r="T18" s="314"/>
    </row>
    <row r="19" spans="2:20" s="325" customFormat="1" ht="18" customHeight="1">
      <c r="B19" s="349"/>
      <c r="C19" s="351"/>
      <c r="D19" s="351"/>
      <c r="E19" s="350" t="s">
        <v>423</v>
      </c>
      <c r="F19" s="352">
        <f>4.15+4.15</f>
        <v>8.3</v>
      </c>
      <c r="G19" s="352">
        <f>1.95+1.95</f>
        <v>3.9</v>
      </c>
      <c r="H19" s="352">
        <v>3</v>
      </c>
      <c r="I19" s="394">
        <f aca="true" t="shared" si="0" ref="I19:I27">(F19+G19)*H19</f>
        <v>36.6</v>
      </c>
      <c r="J19" s="352"/>
      <c r="K19" s="353"/>
      <c r="L19" s="354">
        <f aca="true" t="shared" si="1" ref="L19:L27">I19</f>
        <v>36.6</v>
      </c>
      <c r="M19" s="341"/>
      <c r="N19" s="341"/>
      <c r="Q19" s="314"/>
      <c r="R19" s="314"/>
      <c r="S19" s="314"/>
      <c r="T19" s="314"/>
    </row>
    <row r="20" spans="2:20" s="325" customFormat="1" ht="18" customHeight="1">
      <c r="B20" s="349"/>
      <c r="C20" s="351"/>
      <c r="D20" s="351"/>
      <c r="E20" s="350" t="s">
        <v>424</v>
      </c>
      <c r="F20" s="352">
        <f>4+4</f>
        <v>8</v>
      </c>
      <c r="G20" s="352">
        <f>4.15+4.15</f>
        <v>8.3</v>
      </c>
      <c r="H20" s="352">
        <v>3</v>
      </c>
      <c r="I20" s="394">
        <f t="shared" si="0"/>
        <v>48.900000000000006</v>
      </c>
      <c r="J20" s="352"/>
      <c r="K20" s="353"/>
      <c r="L20" s="354">
        <f>I20</f>
        <v>48.900000000000006</v>
      </c>
      <c r="M20" s="341"/>
      <c r="N20" s="341"/>
      <c r="Q20" s="314"/>
      <c r="R20" s="314"/>
      <c r="S20" s="314"/>
      <c r="T20" s="314"/>
    </row>
    <row r="21" spans="2:20" s="325" customFormat="1" ht="18" customHeight="1">
      <c r="B21" s="349"/>
      <c r="C21" s="351"/>
      <c r="D21" s="351"/>
      <c r="E21" s="350" t="s">
        <v>498</v>
      </c>
      <c r="F21" s="352">
        <f>1.95+1.95</f>
        <v>3.9</v>
      </c>
      <c r="G21" s="352">
        <f>4.15+4.15</f>
        <v>8.3</v>
      </c>
      <c r="H21" s="352">
        <v>3</v>
      </c>
      <c r="I21" s="394">
        <f t="shared" si="0"/>
        <v>36.6</v>
      </c>
      <c r="J21" s="353"/>
      <c r="K21" s="353"/>
      <c r="L21" s="354">
        <f t="shared" si="1"/>
        <v>36.6</v>
      </c>
      <c r="M21" s="341"/>
      <c r="N21" s="341"/>
      <c r="Q21" s="314"/>
      <c r="R21" s="314"/>
      <c r="S21" s="314"/>
      <c r="T21" s="314"/>
    </row>
    <row r="22" spans="2:20" s="325" customFormat="1" ht="18" customHeight="1">
      <c r="B22" s="349"/>
      <c r="C22" s="351"/>
      <c r="D22" s="351"/>
      <c r="E22" s="350" t="s">
        <v>426</v>
      </c>
      <c r="F22" s="352">
        <f>1.9+1.9</f>
        <v>3.8</v>
      </c>
      <c r="G22" s="352">
        <f>4.15+4.15</f>
        <v>8.3</v>
      </c>
      <c r="H22" s="352">
        <v>3</v>
      </c>
      <c r="I22" s="394">
        <f t="shared" si="0"/>
        <v>36.300000000000004</v>
      </c>
      <c r="J22" s="353"/>
      <c r="K22" s="353"/>
      <c r="L22" s="354">
        <f t="shared" si="1"/>
        <v>36.300000000000004</v>
      </c>
      <c r="M22" s="341"/>
      <c r="N22" s="341"/>
      <c r="Q22" s="314"/>
      <c r="R22" s="314"/>
      <c r="S22" s="314"/>
      <c r="T22" s="314"/>
    </row>
    <row r="23" spans="2:20" s="325" customFormat="1" ht="18" customHeight="1">
      <c r="B23" s="349"/>
      <c r="C23" s="351"/>
      <c r="D23" s="351"/>
      <c r="E23" s="350" t="s">
        <v>427</v>
      </c>
      <c r="F23" s="352">
        <f>4+4</f>
        <v>8</v>
      </c>
      <c r="G23" s="352">
        <f>4.15+4.15</f>
        <v>8.3</v>
      </c>
      <c r="H23" s="352">
        <v>3</v>
      </c>
      <c r="I23" s="394">
        <f t="shared" si="0"/>
        <v>48.900000000000006</v>
      </c>
      <c r="J23" s="353"/>
      <c r="K23" s="353"/>
      <c r="L23" s="354">
        <f t="shared" si="1"/>
        <v>48.900000000000006</v>
      </c>
      <c r="M23" s="341"/>
      <c r="N23" s="341"/>
      <c r="Q23" s="314"/>
      <c r="R23" s="314"/>
      <c r="S23" s="314"/>
      <c r="T23" s="314"/>
    </row>
    <row r="24" spans="2:20" s="325" customFormat="1" ht="18" customHeight="1">
      <c r="B24" s="349"/>
      <c r="C24" s="351"/>
      <c r="D24" s="351"/>
      <c r="E24" s="350" t="s">
        <v>409</v>
      </c>
      <c r="F24" s="352">
        <f>16.6+16.6</f>
        <v>33.2</v>
      </c>
      <c r="G24" s="352">
        <f>2.1+2.1</f>
        <v>4.2</v>
      </c>
      <c r="H24" s="352">
        <v>3</v>
      </c>
      <c r="I24" s="394">
        <f t="shared" si="0"/>
        <v>112.20000000000002</v>
      </c>
      <c r="J24" s="353"/>
      <c r="K24" s="353"/>
      <c r="L24" s="354">
        <f t="shared" si="1"/>
        <v>112.20000000000002</v>
      </c>
      <c r="M24" s="341"/>
      <c r="N24" s="341"/>
      <c r="Q24" s="314"/>
      <c r="R24" s="314"/>
      <c r="S24" s="314"/>
      <c r="T24" s="314"/>
    </row>
    <row r="25" spans="2:20" s="325" customFormat="1" ht="18" customHeight="1">
      <c r="B25" s="349"/>
      <c r="C25" s="351"/>
      <c r="D25" s="351"/>
      <c r="E25" s="350" t="s">
        <v>428</v>
      </c>
      <c r="F25" s="352">
        <f>1.6+1.6+1+1</f>
        <v>5.2</v>
      </c>
      <c r="G25" s="352">
        <f>1.9+1.9+1.9+1.9</f>
        <v>7.6</v>
      </c>
      <c r="H25" s="352">
        <v>3</v>
      </c>
      <c r="I25" s="394">
        <f t="shared" si="0"/>
        <v>38.400000000000006</v>
      </c>
      <c r="J25" s="353"/>
      <c r="K25" s="353"/>
      <c r="L25" s="354">
        <f t="shared" si="1"/>
        <v>38.400000000000006</v>
      </c>
      <c r="M25" s="341"/>
      <c r="N25" s="341"/>
      <c r="Q25" s="314"/>
      <c r="R25" s="314"/>
      <c r="S25" s="314"/>
      <c r="T25" s="314"/>
    </row>
    <row r="26" spans="2:20" s="325" customFormat="1" ht="18" customHeight="1">
      <c r="B26" s="349"/>
      <c r="C26" s="351"/>
      <c r="D26" s="351"/>
      <c r="E26" s="350" t="s">
        <v>429</v>
      </c>
      <c r="F26" s="352">
        <f>4+4</f>
        <v>8</v>
      </c>
      <c r="G26" s="352">
        <f>4.85+4.85</f>
        <v>9.7</v>
      </c>
      <c r="H26" s="352">
        <v>3</v>
      </c>
      <c r="I26" s="394">
        <f t="shared" si="0"/>
        <v>53.099999999999994</v>
      </c>
      <c r="J26" s="353"/>
      <c r="K26" s="353"/>
      <c r="L26" s="354">
        <f t="shared" si="1"/>
        <v>53.099999999999994</v>
      </c>
      <c r="M26" s="341"/>
      <c r="N26" s="341"/>
      <c r="Q26" s="314"/>
      <c r="R26" s="314"/>
      <c r="S26" s="314"/>
      <c r="T26" s="314"/>
    </row>
    <row r="27" spans="2:20" s="325" customFormat="1" ht="18" customHeight="1">
      <c r="B27" s="349"/>
      <c r="C27" s="351"/>
      <c r="D27" s="351"/>
      <c r="E27" s="350" t="s">
        <v>429</v>
      </c>
      <c r="F27" s="352">
        <f>4+4</f>
        <v>8</v>
      </c>
      <c r="G27" s="352">
        <f>4.85+4.85</f>
        <v>9.7</v>
      </c>
      <c r="H27" s="352">
        <v>3</v>
      </c>
      <c r="I27" s="394">
        <f t="shared" si="0"/>
        <v>53.099999999999994</v>
      </c>
      <c r="J27" s="353"/>
      <c r="K27" s="353"/>
      <c r="L27" s="354">
        <f t="shared" si="1"/>
        <v>53.099999999999994</v>
      </c>
      <c r="M27" s="341"/>
      <c r="N27" s="341"/>
      <c r="Q27" s="314"/>
      <c r="R27" s="314"/>
      <c r="S27" s="314"/>
      <c r="T27" s="314"/>
    </row>
    <row r="28" spans="2:20" s="325" customFormat="1" ht="18" customHeight="1">
      <c r="B28" s="355"/>
      <c r="C28" s="356"/>
      <c r="D28" s="356"/>
      <c r="E28" s="356"/>
      <c r="F28" s="357"/>
      <c r="G28" s="357"/>
      <c r="H28" s="357"/>
      <c r="I28" s="357"/>
      <c r="J28" s="357"/>
      <c r="K28" s="357"/>
      <c r="L28" s="358">
        <f>SUM(L18:L27)</f>
        <v>496.05000000000007</v>
      </c>
      <c r="M28" s="341"/>
      <c r="N28" s="341"/>
      <c r="Q28" s="314"/>
      <c r="R28" s="314"/>
      <c r="S28" s="314"/>
      <c r="T28" s="314"/>
    </row>
    <row r="29" spans="2:20" s="325" customFormat="1" ht="18.75">
      <c r="B29" s="343" t="s">
        <v>101</v>
      </c>
      <c r="C29" s="344" t="str">
        <f>REFORMA!C19</f>
        <v>Demolição de revestimento cerâmico</v>
      </c>
      <c r="D29" s="345" t="s">
        <v>407</v>
      </c>
      <c r="E29" s="346"/>
      <c r="F29" s="347"/>
      <c r="G29" s="347"/>
      <c r="H29" s="347"/>
      <c r="I29" s="347"/>
      <c r="J29" s="347"/>
      <c r="K29" s="347"/>
      <c r="L29" s="348"/>
      <c r="M29" s="341"/>
      <c r="N29" s="341"/>
      <c r="Q29" s="314"/>
      <c r="R29" s="314"/>
      <c r="S29" s="314"/>
      <c r="T29" s="314"/>
    </row>
    <row r="30" spans="2:20" s="325" customFormat="1" ht="18" customHeight="1">
      <c r="B30" s="349"/>
      <c r="C30" s="351"/>
      <c r="D30" s="351"/>
      <c r="E30" s="350" t="s">
        <v>431</v>
      </c>
      <c r="F30" s="352"/>
      <c r="G30" s="353"/>
      <c r="H30" s="352"/>
      <c r="I30" s="352">
        <v>1.95</v>
      </c>
      <c r="J30" s="353"/>
      <c r="K30" s="353"/>
      <c r="L30" s="354">
        <f>I30</f>
        <v>1.95</v>
      </c>
      <c r="M30" s="341"/>
      <c r="N30" s="341"/>
      <c r="Q30" s="314"/>
      <c r="R30" s="314"/>
      <c r="S30" s="314"/>
      <c r="T30" s="314"/>
    </row>
    <row r="31" spans="2:20" s="325" customFormat="1" ht="18" customHeight="1">
      <c r="B31" s="349"/>
      <c r="C31" s="351"/>
      <c r="D31" s="351"/>
      <c r="E31" s="350" t="s">
        <v>432</v>
      </c>
      <c r="F31" s="352"/>
      <c r="G31" s="353"/>
      <c r="H31" s="352"/>
      <c r="I31" s="352">
        <v>1.95</v>
      </c>
      <c r="J31" s="353"/>
      <c r="K31" s="353"/>
      <c r="L31" s="354">
        <f>I31</f>
        <v>1.95</v>
      </c>
      <c r="M31" s="341"/>
      <c r="N31" s="341"/>
      <c r="Q31" s="314"/>
      <c r="R31" s="314"/>
      <c r="S31" s="314"/>
      <c r="T31" s="314"/>
    </row>
    <row r="32" spans="2:20" s="325" customFormat="1" ht="18" customHeight="1">
      <c r="B32" s="355"/>
      <c r="C32" s="356"/>
      <c r="D32" s="356"/>
      <c r="E32" s="356"/>
      <c r="F32" s="357"/>
      <c r="G32" s="357"/>
      <c r="H32" s="357"/>
      <c r="I32" s="357"/>
      <c r="J32" s="357"/>
      <c r="K32" s="357"/>
      <c r="L32" s="358">
        <f>SUM(L30:L31)</f>
        <v>3.9</v>
      </c>
      <c r="M32" s="341"/>
      <c r="N32" s="341"/>
      <c r="Q32" s="314"/>
      <c r="R32" s="314"/>
      <c r="S32" s="314"/>
      <c r="T32" s="314"/>
    </row>
    <row r="33" spans="2:20" s="325" customFormat="1" ht="18" customHeight="1">
      <c r="B33" s="343" t="s">
        <v>102</v>
      </c>
      <c r="C33" s="344" t="str">
        <f>REFORMA!C20</f>
        <v>Retirada de louças e acessórios</v>
      </c>
      <c r="D33" s="345" t="s">
        <v>408</v>
      </c>
      <c r="E33" s="346"/>
      <c r="F33" s="347"/>
      <c r="G33" s="347"/>
      <c r="H33" s="347"/>
      <c r="I33" s="347"/>
      <c r="J33" s="347"/>
      <c r="K33" s="347"/>
      <c r="L33" s="348"/>
      <c r="M33" s="341"/>
      <c r="N33" s="341"/>
      <c r="Q33" s="314"/>
      <c r="R33" s="314"/>
      <c r="S33" s="314"/>
      <c r="T33" s="314"/>
    </row>
    <row r="34" spans="2:20" s="325" customFormat="1" ht="18" customHeight="1">
      <c r="B34" s="349"/>
      <c r="C34" s="351"/>
      <c r="D34" s="351"/>
      <c r="E34" s="350"/>
      <c r="F34" s="353"/>
      <c r="G34" s="353"/>
      <c r="H34" s="353"/>
      <c r="I34" s="353"/>
      <c r="J34" s="353"/>
      <c r="K34" s="352">
        <v>4</v>
      </c>
      <c r="L34" s="354">
        <f>K34</f>
        <v>4</v>
      </c>
      <c r="M34" s="341"/>
      <c r="N34" s="341"/>
      <c r="Q34" s="314"/>
      <c r="R34" s="314"/>
      <c r="S34" s="314"/>
      <c r="T34" s="314"/>
    </row>
    <row r="35" spans="2:20" s="325" customFormat="1" ht="18" customHeight="1">
      <c r="B35" s="355"/>
      <c r="C35" s="356"/>
      <c r="D35" s="356"/>
      <c r="E35" s="356"/>
      <c r="F35" s="357"/>
      <c r="G35" s="357"/>
      <c r="H35" s="357"/>
      <c r="I35" s="357"/>
      <c r="J35" s="357"/>
      <c r="K35" s="357"/>
      <c r="L35" s="358">
        <f>SUM(L34)</f>
        <v>4</v>
      </c>
      <c r="M35" s="341"/>
      <c r="N35" s="341"/>
      <c r="Q35" s="314"/>
      <c r="R35" s="314"/>
      <c r="S35" s="314"/>
      <c r="T35" s="314"/>
    </row>
    <row r="36" spans="2:20" s="325" customFormat="1" ht="18" customHeight="1">
      <c r="B36" s="343" t="s">
        <v>103</v>
      </c>
      <c r="C36" s="344" t="str">
        <f>REFORMA!C21</f>
        <v>Retirada de portas e janelas, inclusive batentes</v>
      </c>
      <c r="D36" s="345" t="s">
        <v>408</v>
      </c>
      <c r="E36" s="346"/>
      <c r="F36" s="347"/>
      <c r="G36" s="347"/>
      <c r="H36" s="347"/>
      <c r="I36" s="347"/>
      <c r="J36" s="347"/>
      <c r="K36" s="347"/>
      <c r="L36" s="348"/>
      <c r="M36" s="341"/>
      <c r="N36" s="341"/>
      <c r="Q36" s="314"/>
      <c r="R36" s="314"/>
      <c r="S36" s="314"/>
      <c r="T36" s="314"/>
    </row>
    <row r="37" spans="2:20" s="325" customFormat="1" ht="18" customHeight="1">
      <c r="B37" s="349"/>
      <c r="C37" s="351"/>
      <c r="D37" s="351"/>
      <c r="E37" s="350" t="s">
        <v>433</v>
      </c>
      <c r="F37" s="353"/>
      <c r="G37" s="353"/>
      <c r="H37" s="353"/>
      <c r="I37" s="353"/>
      <c r="J37" s="353"/>
      <c r="K37" s="352">
        <v>7</v>
      </c>
      <c r="L37" s="354">
        <f>K37</f>
        <v>7</v>
      </c>
      <c r="M37" s="341"/>
      <c r="N37" s="341"/>
      <c r="Q37" s="314"/>
      <c r="R37" s="314"/>
      <c r="S37" s="314"/>
      <c r="T37" s="314"/>
    </row>
    <row r="38" spans="2:20" s="325" customFormat="1" ht="18" customHeight="1">
      <c r="B38" s="349"/>
      <c r="C38" s="351"/>
      <c r="D38" s="351"/>
      <c r="E38" s="350" t="s">
        <v>434</v>
      </c>
      <c r="F38" s="353"/>
      <c r="G38" s="353"/>
      <c r="H38" s="353"/>
      <c r="I38" s="353"/>
      <c r="J38" s="353"/>
      <c r="K38" s="352">
        <v>1</v>
      </c>
      <c r="L38" s="354">
        <f>K38</f>
        <v>1</v>
      </c>
      <c r="M38" s="341"/>
      <c r="N38" s="341"/>
      <c r="Q38" s="314"/>
      <c r="R38" s="314"/>
      <c r="S38" s="314"/>
      <c r="T38" s="314"/>
    </row>
    <row r="39" spans="2:20" s="325" customFormat="1" ht="18" customHeight="1">
      <c r="B39" s="355"/>
      <c r="C39" s="356"/>
      <c r="D39" s="356"/>
      <c r="E39" s="356"/>
      <c r="F39" s="357"/>
      <c r="G39" s="357"/>
      <c r="H39" s="357"/>
      <c r="I39" s="357"/>
      <c r="J39" s="357"/>
      <c r="K39" s="357"/>
      <c r="L39" s="358">
        <f>SUM(L37:L38)</f>
        <v>8</v>
      </c>
      <c r="M39" s="341"/>
      <c r="N39" s="341"/>
      <c r="Q39" s="314"/>
      <c r="R39" s="314"/>
      <c r="S39" s="314"/>
      <c r="T39" s="314"/>
    </row>
    <row r="40" spans="2:20" s="325" customFormat="1" ht="18" customHeight="1">
      <c r="B40" s="343" t="s">
        <v>104</v>
      </c>
      <c r="C40" s="344" t="str">
        <f>REFORMA!C22</f>
        <v>Remoção de metais sanitários / LAVABO</v>
      </c>
      <c r="D40" s="345" t="s">
        <v>34</v>
      </c>
      <c r="E40" s="346"/>
      <c r="F40" s="347"/>
      <c r="G40" s="347"/>
      <c r="H40" s="347"/>
      <c r="I40" s="347"/>
      <c r="J40" s="347"/>
      <c r="K40" s="347"/>
      <c r="L40" s="348"/>
      <c r="M40" s="341"/>
      <c r="N40" s="341"/>
      <c r="Q40" s="314"/>
      <c r="R40" s="314"/>
      <c r="S40" s="314"/>
      <c r="T40" s="314"/>
    </row>
    <row r="41" spans="2:20" s="325" customFormat="1" ht="18" customHeight="1">
      <c r="B41" s="349"/>
      <c r="C41" s="351"/>
      <c r="D41" s="351"/>
      <c r="E41" s="351"/>
      <c r="F41" s="394">
        <f>2.1+2.1</f>
        <v>4.2</v>
      </c>
      <c r="G41" s="394">
        <f>0.6+0.6</f>
        <v>1.2</v>
      </c>
      <c r="H41" s="394">
        <v>0.8</v>
      </c>
      <c r="I41" s="394">
        <f>F41*G41</f>
        <v>5.04</v>
      </c>
      <c r="J41" s="394">
        <f>I41*H41</f>
        <v>4.032</v>
      </c>
      <c r="K41" s="352"/>
      <c r="L41" s="354">
        <f>J41</f>
        <v>4.032</v>
      </c>
      <c r="M41" s="341"/>
      <c r="N41" s="341"/>
      <c r="Q41" s="314"/>
      <c r="R41" s="314"/>
      <c r="S41" s="314"/>
      <c r="T41" s="314"/>
    </row>
    <row r="42" spans="2:20" s="325" customFormat="1" ht="18" customHeight="1">
      <c r="B42" s="355"/>
      <c r="C42" s="356"/>
      <c r="D42" s="356"/>
      <c r="E42" s="356"/>
      <c r="F42" s="357"/>
      <c r="G42" s="357"/>
      <c r="H42" s="357"/>
      <c r="I42" s="357"/>
      <c r="J42" s="357"/>
      <c r="K42" s="357"/>
      <c r="L42" s="358">
        <f>SUM(L41)</f>
        <v>4.032</v>
      </c>
      <c r="M42" s="341"/>
      <c r="N42" s="341"/>
      <c r="Q42" s="314"/>
      <c r="R42" s="314"/>
      <c r="S42" s="314"/>
      <c r="T42" s="314"/>
    </row>
    <row r="43" spans="2:20" s="325" customFormat="1" ht="18" customHeight="1">
      <c r="B43" s="343" t="s">
        <v>105</v>
      </c>
      <c r="C43" s="344" t="str">
        <f>REFORMA!C23</f>
        <v>Remoção de pia</v>
      </c>
      <c r="D43" s="345" t="s">
        <v>408</v>
      </c>
      <c r="E43" s="346"/>
      <c r="F43" s="347"/>
      <c r="G43" s="347"/>
      <c r="H43" s="347"/>
      <c r="I43" s="347"/>
      <c r="J43" s="347"/>
      <c r="K43" s="347"/>
      <c r="L43" s="359"/>
      <c r="M43" s="341"/>
      <c r="N43" s="341"/>
      <c r="Q43" s="314"/>
      <c r="R43" s="314"/>
      <c r="S43" s="314"/>
      <c r="T43" s="314"/>
    </row>
    <row r="44" spans="2:20" s="325" customFormat="1" ht="18" customHeight="1">
      <c r="B44" s="349"/>
      <c r="C44" s="351"/>
      <c r="D44" s="351"/>
      <c r="E44" s="350"/>
      <c r="F44" s="353"/>
      <c r="G44" s="353"/>
      <c r="H44" s="352"/>
      <c r="I44" s="352"/>
      <c r="J44" s="352"/>
      <c r="K44" s="394">
        <v>2</v>
      </c>
      <c r="L44" s="354">
        <f>K44</f>
        <v>2</v>
      </c>
      <c r="M44" s="341"/>
      <c r="N44" s="341"/>
      <c r="Q44" s="314"/>
      <c r="R44" s="353">
        <f>138.2</f>
        <v>138.2</v>
      </c>
      <c r="S44" s="314"/>
      <c r="T44" s="314"/>
    </row>
    <row r="45" spans="2:20" s="325" customFormat="1" ht="18" customHeight="1">
      <c r="B45" s="349"/>
      <c r="C45" s="351"/>
      <c r="D45" s="351"/>
      <c r="E45" s="350"/>
      <c r="F45" s="353"/>
      <c r="G45" s="353"/>
      <c r="H45" s="352"/>
      <c r="I45" s="352"/>
      <c r="J45" s="352"/>
      <c r="K45" s="353"/>
      <c r="L45" s="384">
        <f>SUM(L44)</f>
        <v>2</v>
      </c>
      <c r="M45" s="341"/>
      <c r="N45" s="341"/>
      <c r="Q45" s="314"/>
      <c r="R45" s="353"/>
      <c r="S45" s="314"/>
      <c r="T45" s="314"/>
    </row>
    <row r="46" spans="2:20" s="325" customFormat="1" ht="18" customHeight="1">
      <c r="B46" s="343" t="s">
        <v>435</v>
      </c>
      <c r="C46" s="344" t="s">
        <v>436</v>
      </c>
      <c r="D46" s="345" t="s">
        <v>408</v>
      </c>
      <c r="E46" s="344"/>
      <c r="F46" s="392"/>
      <c r="G46" s="392"/>
      <c r="H46" s="368"/>
      <c r="I46" s="368"/>
      <c r="J46" s="368"/>
      <c r="K46" s="392"/>
      <c r="L46" s="405"/>
      <c r="M46" s="341"/>
      <c r="N46" s="341"/>
      <c r="Q46" s="314"/>
      <c r="R46" s="353"/>
      <c r="S46" s="314"/>
      <c r="T46" s="314"/>
    </row>
    <row r="47" spans="2:20" s="325" customFormat="1" ht="18" customHeight="1">
      <c r="B47" s="349"/>
      <c r="C47" s="351"/>
      <c r="D47" s="351"/>
      <c r="E47" s="350"/>
      <c r="F47" s="353"/>
      <c r="G47" s="353"/>
      <c r="H47" s="352"/>
      <c r="I47" s="352"/>
      <c r="J47" s="352"/>
      <c r="K47" s="394">
        <v>25</v>
      </c>
      <c r="L47" s="354">
        <f>K47</f>
        <v>25</v>
      </c>
      <c r="M47" s="341"/>
      <c r="N47" s="341"/>
      <c r="Q47" s="314"/>
      <c r="R47" s="353"/>
      <c r="S47" s="314"/>
      <c r="T47" s="314"/>
    </row>
    <row r="48" spans="2:20" s="325" customFormat="1" ht="18" customHeight="1">
      <c r="B48" s="355"/>
      <c r="C48" s="356"/>
      <c r="D48" s="356"/>
      <c r="E48" s="360"/>
      <c r="F48" s="357"/>
      <c r="G48" s="357"/>
      <c r="H48" s="361"/>
      <c r="I48" s="361"/>
      <c r="J48" s="361"/>
      <c r="K48" s="357"/>
      <c r="L48" s="358">
        <f>SUM(L47)</f>
        <v>25</v>
      </c>
      <c r="M48" s="341"/>
      <c r="N48" s="341"/>
      <c r="Q48" s="314"/>
      <c r="R48" s="353"/>
      <c r="S48" s="314"/>
      <c r="T48" s="314"/>
    </row>
    <row r="49" spans="2:12" ht="18">
      <c r="B49" s="342"/>
      <c r="C49" s="334" t="s">
        <v>377</v>
      </c>
      <c r="D49" s="334"/>
      <c r="E49" s="429"/>
      <c r="F49" s="430"/>
      <c r="G49" s="430"/>
      <c r="H49" s="430"/>
      <c r="I49" s="337"/>
      <c r="J49" s="430"/>
      <c r="K49" s="337"/>
      <c r="L49" s="431"/>
    </row>
    <row r="50" spans="2:20" s="325" customFormat="1" ht="18" customHeight="1">
      <c r="B50" s="379"/>
      <c r="C50" s="344" t="s">
        <v>378</v>
      </c>
      <c r="D50" s="345" t="s">
        <v>0</v>
      </c>
      <c r="E50" s="346"/>
      <c r="F50" s="347"/>
      <c r="G50" s="347"/>
      <c r="H50" s="347"/>
      <c r="I50" s="347"/>
      <c r="J50" s="347"/>
      <c r="K50" s="347"/>
      <c r="L50" s="359"/>
      <c r="M50" s="341"/>
      <c r="N50" s="341"/>
      <c r="Q50" s="314"/>
      <c r="R50" s="353"/>
      <c r="S50" s="314"/>
      <c r="T50" s="314"/>
    </row>
    <row r="51" spans="2:20" s="325" customFormat="1" ht="18" customHeight="1">
      <c r="B51" s="349"/>
      <c r="C51" s="351"/>
      <c r="D51" s="351"/>
      <c r="E51" s="350" t="s">
        <v>486</v>
      </c>
      <c r="F51" s="353"/>
      <c r="G51" s="353"/>
      <c r="H51" s="353"/>
      <c r="I51" s="394">
        <v>154.05</v>
      </c>
      <c r="J51" s="353"/>
      <c r="K51" s="352"/>
      <c r="L51" s="354">
        <f>I51</f>
        <v>154.05</v>
      </c>
      <c r="M51" s="341"/>
      <c r="N51" s="341"/>
      <c r="Q51" s="314"/>
      <c r="R51" s="353"/>
      <c r="S51" s="314"/>
      <c r="T51" s="314"/>
    </row>
    <row r="52" spans="2:20" s="325" customFormat="1" ht="18.75">
      <c r="B52" s="355"/>
      <c r="C52" s="356"/>
      <c r="D52" s="356"/>
      <c r="E52" s="360"/>
      <c r="F52" s="357"/>
      <c r="G52" s="357"/>
      <c r="H52" s="357"/>
      <c r="I52" s="357"/>
      <c r="J52" s="357"/>
      <c r="K52" s="361"/>
      <c r="L52" s="358">
        <f>SUM(L51)</f>
        <v>154.05</v>
      </c>
      <c r="M52" s="341"/>
      <c r="N52" s="341"/>
      <c r="Q52" s="314"/>
      <c r="R52" s="353"/>
      <c r="S52" s="314"/>
      <c r="T52" s="314"/>
    </row>
    <row r="53" spans="2:20" s="325" customFormat="1" ht="18" customHeight="1">
      <c r="B53" s="379"/>
      <c r="C53" s="344" t="s">
        <v>444</v>
      </c>
      <c r="D53" s="345" t="s">
        <v>0</v>
      </c>
      <c r="E53" s="346"/>
      <c r="F53" s="347"/>
      <c r="G53" s="347"/>
      <c r="H53" s="347"/>
      <c r="I53" s="347"/>
      <c r="J53" s="347"/>
      <c r="K53" s="347"/>
      <c r="L53" s="359"/>
      <c r="M53" s="341"/>
      <c r="N53" s="341"/>
      <c r="Q53" s="314"/>
      <c r="R53" s="353"/>
      <c r="S53" s="314"/>
      <c r="T53" s="314"/>
    </row>
    <row r="54" spans="2:20" s="325" customFormat="1" ht="18" customHeight="1">
      <c r="B54" s="349"/>
      <c r="C54" s="350"/>
      <c r="D54" s="364"/>
      <c r="E54" s="350" t="s">
        <v>486</v>
      </c>
      <c r="F54" s="353"/>
      <c r="G54" s="353"/>
      <c r="H54" s="353"/>
      <c r="I54" s="394">
        <v>154.05</v>
      </c>
      <c r="J54" s="394"/>
      <c r="K54" s="394"/>
      <c r="L54" s="354">
        <f>I54</f>
        <v>154.05</v>
      </c>
      <c r="M54" s="341"/>
      <c r="N54" s="341"/>
      <c r="Q54" s="314"/>
      <c r="R54" s="353"/>
      <c r="S54" s="314"/>
      <c r="T54" s="314"/>
    </row>
    <row r="55" spans="2:20" s="325" customFormat="1" ht="18" customHeight="1">
      <c r="B55" s="355"/>
      <c r="C55" s="360"/>
      <c r="D55" s="365"/>
      <c r="E55" s="360"/>
      <c r="F55" s="357"/>
      <c r="G55" s="357"/>
      <c r="H55" s="361"/>
      <c r="I55" s="361"/>
      <c r="J55" s="361"/>
      <c r="K55" s="357"/>
      <c r="L55" s="358">
        <f>SUM(L54)</f>
        <v>154.05</v>
      </c>
      <c r="M55" s="341"/>
      <c r="N55" s="341"/>
      <c r="Q55" s="314"/>
      <c r="R55" s="353"/>
      <c r="S55" s="314"/>
      <c r="T55" s="314"/>
    </row>
    <row r="56" spans="2:20" s="325" customFormat="1" ht="18" customHeight="1">
      <c r="B56" s="349"/>
      <c r="C56" s="350" t="s">
        <v>445</v>
      </c>
      <c r="D56" s="364" t="s">
        <v>0</v>
      </c>
      <c r="E56" s="350"/>
      <c r="F56" s="353"/>
      <c r="G56" s="353"/>
      <c r="H56" s="352"/>
      <c r="I56" s="352"/>
      <c r="J56" s="352"/>
      <c r="K56" s="353"/>
      <c r="L56" s="384"/>
      <c r="M56" s="341"/>
      <c r="N56" s="341"/>
      <c r="Q56" s="314"/>
      <c r="R56" s="353"/>
      <c r="S56" s="314"/>
      <c r="T56" s="314"/>
    </row>
    <row r="57" spans="2:20" s="325" customFormat="1" ht="18" customHeight="1">
      <c r="B57" s="349"/>
      <c r="C57" s="350"/>
      <c r="D57" s="364"/>
      <c r="E57" s="350" t="s">
        <v>487</v>
      </c>
      <c r="F57" s="353"/>
      <c r="G57" s="353"/>
      <c r="H57" s="352"/>
      <c r="I57" s="394">
        <v>73.8</v>
      </c>
      <c r="J57" s="352"/>
      <c r="K57" s="353"/>
      <c r="L57" s="354">
        <f>I57</f>
        <v>73.8</v>
      </c>
      <c r="M57" s="341"/>
      <c r="N57" s="341"/>
      <c r="Q57" s="314"/>
      <c r="R57" s="353"/>
      <c r="S57" s="314"/>
      <c r="T57" s="314"/>
    </row>
    <row r="58" spans="2:20" s="325" customFormat="1" ht="18" customHeight="1">
      <c r="B58" s="349"/>
      <c r="C58" s="351"/>
      <c r="D58" s="351"/>
      <c r="E58" s="350"/>
      <c r="F58" s="353"/>
      <c r="G58" s="353"/>
      <c r="H58" s="352"/>
      <c r="I58" s="352"/>
      <c r="J58" s="352"/>
      <c r="K58" s="353"/>
      <c r="L58" s="384">
        <f>SUM(L57)</f>
        <v>73.8</v>
      </c>
      <c r="M58" s="341"/>
      <c r="N58" s="341"/>
      <c r="Q58" s="314"/>
      <c r="R58" s="353"/>
      <c r="S58" s="314"/>
      <c r="T58" s="314"/>
    </row>
    <row r="59" spans="2:12" ht="18">
      <c r="B59" s="342" t="str">
        <f>'[2]Orçamento'!B60</f>
        <v>5.00</v>
      </c>
      <c r="C59" s="334" t="s">
        <v>391</v>
      </c>
      <c r="D59" s="334"/>
      <c r="E59" s="429"/>
      <c r="F59" s="430"/>
      <c r="G59" s="430"/>
      <c r="H59" s="430"/>
      <c r="I59" s="337"/>
      <c r="J59" s="430"/>
      <c r="K59" s="337"/>
      <c r="L59" s="431"/>
    </row>
    <row r="60" spans="2:12" ht="36">
      <c r="B60" s="391" t="str">
        <f>'[2]Orçamento'!B61</f>
        <v>5.1</v>
      </c>
      <c r="C60" s="380" t="s">
        <v>455</v>
      </c>
      <c r="D60" s="367" t="s">
        <v>407</v>
      </c>
      <c r="E60" s="346"/>
      <c r="F60" s="347"/>
      <c r="G60" s="347"/>
      <c r="H60" s="347"/>
      <c r="I60" s="347"/>
      <c r="J60" s="347"/>
      <c r="K60" s="347"/>
      <c r="L60" s="348"/>
    </row>
    <row r="61" spans="2:12" ht="18">
      <c r="B61" s="374"/>
      <c r="C61" s="375"/>
      <c r="D61" s="376"/>
      <c r="E61" s="377" t="s">
        <v>454</v>
      </c>
      <c r="F61" s="353"/>
      <c r="G61" s="353"/>
      <c r="H61" s="353"/>
      <c r="I61" s="352">
        <f>1.95+1.95</f>
        <v>3.9</v>
      </c>
      <c r="J61" s="353"/>
      <c r="K61" s="353"/>
      <c r="L61" s="354">
        <f>I61</f>
        <v>3.9</v>
      </c>
    </row>
    <row r="62" spans="2:12" ht="18">
      <c r="B62" s="432"/>
      <c r="C62" s="386"/>
      <c r="D62" s="378"/>
      <c r="E62" s="433"/>
      <c r="F62" s="357"/>
      <c r="G62" s="357"/>
      <c r="H62" s="357"/>
      <c r="I62" s="361"/>
      <c r="J62" s="357"/>
      <c r="K62" s="357"/>
      <c r="L62" s="358">
        <f>SUM(L61)</f>
        <v>3.9</v>
      </c>
    </row>
    <row r="63" spans="2:12" ht="36">
      <c r="B63" s="399"/>
      <c r="C63" s="398" t="s">
        <v>456</v>
      </c>
      <c r="D63" s="434" t="s">
        <v>407</v>
      </c>
      <c r="E63" s="435"/>
      <c r="F63" s="347"/>
      <c r="G63" s="347"/>
      <c r="H63" s="347"/>
      <c r="I63" s="368"/>
      <c r="J63" s="347"/>
      <c r="K63" s="347"/>
      <c r="L63" s="405"/>
    </row>
    <row r="64" spans="2:12" ht="18">
      <c r="B64" s="349"/>
      <c r="C64" s="376"/>
      <c r="D64" s="376"/>
      <c r="E64" s="377" t="s">
        <v>454</v>
      </c>
      <c r="F64" s="353"/>
      <c r="G64" s="353"/>
      <c r="H64" s="353"/>
      <c r="I64" s="394">
        <v>3.9</v>
      </c>
      <c r="J64" s="394"/>
      <c r="K64" s="394"/>
      <c r="L64" s="354">
        <f>L61-L63</f>
        <v>3.9</v>
      </c>
    </row>
    <row r="65" spans="2:12" ht="18">
      <c r="B65" s="355"/>
      <c r="C65" s="378"/>
      <c r="D65" s="378"/>
      <c r="E65" s="433"/>
      <c r="F65" s="357"/>
      <c r="G65" s="357"/>
      <c r="H65" s="357"/>
      <c r="I65" s="357"/>
      <c r="J65" s="357"/>
      <c r="K65" s="357"/>
      <c r="L65" s="358">
        <f>SUM(L64)</f>
        <v>3.9</v>
      </c>
    </row>
    <row r="66" spans="2:12" ht="18">
      <c r="B66" s="379"/>
      <c r="C66" s="398" t="s">
        <v>457</v>
      </c>
      <c r="D66" s="434" t="s">
        <v>407</v>
      </c>
      <c r="E66" s="436"/>
      <c r="F66" s="347"/>
      <c r="G66" s="347"/>
      <c r="H66" s="347"/>
      <c r="I66" s="347"/>
      <c r="J66" s="347"/>
      <c r="K66" s="347"/>
      <c r="L66" s="359"/>
    </row>
    <row r="67" spans="2:12" ht="18">
      <c r="B67" s="349"/>
      <c r="C67" s="375"/>
      <c r="D67" s="376"/>
      <c r="E67" s="425" t="s">
        <v>422</v>
      </c>
      <c r="F67" s="353"/>
      <c r="G67" s="353"/>
      <c r="H67" s="353"/>
      <c r="I67" s="394">
        <v>8.81</v>
      </c>
      <c r="J67" s="353"/>
      <c r="K67" s="353"/>
      <c r="L67" s="354">
        <f>I67</f>
        <v>8.81</v>
      </c>
    </row>
    <row r="68" spans="2:12" ht="18">
      <c r="B68" s="349"/>
      <c r="C68" s="375"/>
      <c r="D68" s="376"/>
      <c r="E68" s="425" t="s">
        <v>423</v>
      </c>
      <c r="F68" s="353"/>
      <c r="G68" s="353"/>
      <c r="H68" s="353"/>
      <c r="I68" s="394">
        <v>8.09</v>
      </c>
      <c r="J68" s="353"/>
      <c r="K68" s="353"/>
      <c r="L68" s="354">
        <f aca="true" t="shared" si="2" ref="L68:L76">I68</f>
        <v>8.09</v>
      </c>
    </row>
    <row r="69" spans="2:12" ht="18">
      <c r="B69" s="349"/>
      <c r="C69" s="375"/>
      <c r="D69" s="376"/>
      <c r="E69" s="425" t="s">
        <v>424</v>
      </c>
      <c r="F69" s="353"/>
      <c r="G69" s="353"/>
      <c r="H69" s="353"/>
      <c r="I69" s="394">
        <v>16.6</v>
      </c>
      <c r="J69" s="353"/>
      <c r="K69" s="353"/>
      <c r="L69" s="354">
        <f t="shared" si="2"/>
        <v>16.6</v>
      </c>
    </row>
    <row r="70" spans="2:12" ht="18">
      <c r="B70" s="349"/>
      <c r="C70" s="375"/>
      <c r="D70" s="376"/>
      <c r="E70" s="425" t="s">
        <v>498</v>
      </c>
      <c r="F70" s="353"/>
      <c r="G70" s="353"/>
      <c r="H70" s="353"/>
      <c r="I70" s="394">
        <v>8.09</v>
      </c>
      <c r="J70" s="353"/>
      <c r="K70" s="353"/>
      <c r="L70" s="354">
        <f t="shared" si="2"/>
        <v>8.09</v>
      </c>
    </row>
    <row r="71" spans="2:12" ht="18">
      <c r="B71" s="349"/>
      <c r="C71" s="375"/>
      <c r="D71" s="376"/>
      <c r="E71" s="425" t="s">
        <v>426</v>
      </c>
      <c r="F71" s="353"/>
      <c r="G71" s="353"/>
      <c r="H71" s="353"/>
      <c r="I71" s="394">
        <v>7.89</v>
      </c>
      <c r="J71" s="353"/>
      <c r="K71" s="353"/>
      <c r="L71" s="354">
        <f t="shared" si="2"/>
        <v>7.89</v>
      </c>
    </row>
    <row r="72" spans="2:12" ht="18">
      <c r="B72" s="349"/>
      <c r="C72" s="375"/>
      <c r="D72" s="376"/>
      <c r="E72" s="425" t="s">
        <v>427</v>
      </c>
      <c r="F72" s="353"/>
      <c r="G72" s="353"/>
      <c r="H72" s="353"/>
      <c r="I72" s="394">
        <v>16.6</v>
      </c>
      <c r="J72" s="353"/>
      <c r="K72" s="353"/>
      <c r="L72" s="354">
        <f t="shared" si="2"/>
        <v>16.6</v>
      </c>
    </row>
    <row r="73" spans="2:12" ht="18">
      <c r="B73" s="349"/>
      <c r="C73" s="375"/>
      <c r="D73" s="376"/>
      <c r="E73" s="425" t="s">
        <v>409</v>
      </c>
      <c r="F73" s="353"/>
      <c r="G73" s="353"/>
      <c r="H73" s="353"/>
      <c r="I73" s="394">
        <v>59.4</v>
      </c>
      <c r="J73" s="353"/>
      <c r="K73" s="353"/>
      <c r="L73" s="354">
        <f t="shared" si="2"/>
        <v>59.4</v>
      </c>
    </row>
    <row r="74" spans="2:12" ht="18">
      <c r="B74" s="349"/>
      <c r="C74" s="375"/>
      <c r="D74" s="376"/>
      <c r="E74" s="425" t="s">
        <v>428</v>
      </c>
      <c r="F74" s="353"/>
      <c r="G74" s="353"/>
      <c r="H74" s="353"/>
      <c r="I74" s="394">
        <v>4.9399999999999995</v>
      </c>
      <c r="J74" s="353"/>
      <c r="K74" s="353"/>
      <c r="L74" s="354">
        <f t="shared" si="2"/>
        <v>4.9399999999999995</v>
      </c>
    </row>
    <row r="75" spans="2:12" ht="18">
      <c r="B75" s="349"/>
      <c r="C75" s="375"/>
      <c r="D75" s="376"/>
      <c r="E75" s="425" t="s">
        <v>429</v>
      </c>
      <c r="F75" s="353"/>
      <c r="G75" s="353"/>
      <c r="H75" s="353"/>
      <c r="I75" s="394">
        <v>19.4</v>
      </c>
      <c r="J75" s="353"/>
      <c r="K75" s="353"/>
      <c r="L75" s="354">
        <f t="shared" si="2"/>
        <v>19.4</v>
      </c>
    </row>
    <row r="76" spans="2:12" ht="18">
      <c r="B76" s="349"/>
      <c r="C76" s="375"/>
      <c r="D76" s="376"/>
      <c r="E76" s="425" t="s">
        <v>429</v>
      </c>
      <c r="F76" s="353"/>
      <c r="G76" s="353"/>
      <c r="H76" s="353"/>
      <c r="I76" s="394">
        <v>19.4</v>
      </c>
      <c r="J76" s="353"/>
      <c r="K76" s="353"/>
      <c r="L76" s="354">
        <f t="shared" si="2"/>
        <v>19.4</v>
      </c>
    </row>
    <row r="77" spans="2:12" ht="18">
      <c r="B77" s="355"/>
      <c r="C77" s="386"/>
      <c r="D77" s="378"/>
      <c r="E77" s="433"/>
      <c r="F77" s="357"/>
      <c r="G77" s="357"/>
      <c r="H77" s="357"/>
      <c r="I77" s="357"/>
      <c r="J77" s="357"/>
      <c r="K77" s="357"/>
      <c r="L77" s="358">
        <f>SUM(L67:L76)</f>
        <v>169.22000000000003</v>
      </c>
    </row>
    <row r="78" spans="2:12" ht="18">
      <c r="B78" s="342"/>
      <c r="C78" s="334" t="s">
        <v>488</v>
      </c>
      <c r="D78" s="334"/>
      <c r="E78" s="429"/>
      <c r="F78" s="430"/>
      <c r="G78" s="430"/>
      <c r="H78" s="430"/>
      <c r="I78" s="337"/>
      <c r="J78" s="430"/>
      <c r="K78" s="337"/>
      <c r="L78" s="431"/>
    </row>
    <row r="79" spans="2:12" ht="18">
      <c r="B79" s="349"/>
      <c r="C79" s="375"/>
      <c r="D79" s="376"/>
      <c r="E79" s="377"/>
      <c r="F79" s="353"/>
      <c r="G79" s="353"/>
      <c r="H79" s="353"/>
      <c r="I79" s="353"/>
      <c r="J79" s="353"/>
      <c r="K79" s="353"/>
      <c r="L79" s="384"/>
    </row>
    <row r="80" spans="2:12" ht="18">
      <c r="B80" s="349"/>
      <c r="C80" s="375"/>
      <c r="D80" s="376"/>
      <c r="E80" s="377"/>
      <c r="F80" s="353"/>
      <c r="G80" s="353"/>
      <c r="H80" s="353"/>
      <c r="I80" s="353"/>
      <c r="J80" s="353"/>
      <c r="K80" s="353"/>
      <c r="L80" s="384"/>
    </row>
    <row r="81" spans="2:12" ht="18">
      <c r="B81" s="349"/>
      <c r="C81" s="375"/>
      <c r="D81" s="376"/>
      <c r="E81" s="377"/>
      <c r="F81" s="353"/>
      <c r="G81" s="353"/>
      <c r="H81" s="353"/>
      <c r="I81" s="353"/>
      <c r="J81" s="353"/>
      <c r="K81" s="353"/>
      <c r="L81" s="384"/>
    </row>
    <row r="82" spans="2:12" ht="18">
      <c r="B82" s="349"/>
      <c r="C82" s="375"/>
      <c r="D82" s="376"/>
      <c r="E82" s="377"/>
      <c r="F82" s="353"/>
      <c r="G82" s="353"/>
      <c r="H82" s="353"/>
      <c r="I82" s="353"/>
      <c r="J82" s="353"/>
      <c r="K82" s="353"/>
      <c r="L82" s="384"/>
    </row>
    <row r="83" spans="2:12" ht="18">
      <c r="B83" s="349"/>
      <c r="C83" s="376"/>
      <c r="D83" s="376"/>
      <c r="E83" s="377"/>
      <c r="F83" s="353"/>
      <c r="G83" s="353"/>
      <c r="H83" s="353"/>
      <c r="I83" s="353"/>
      <c r="J83" s="353"/>
      <c r="K83" s="353"/>
      <c r="L83" s="384"/>
    </row>
    <row r="84" spans="2:12" ht="18">
      <c r="B84" s="369" t="str">
        <f>'[2]Orçamento'!B94</f>
        <v>7.00</v>
      </c>
      <c r="C84" s="370" t="s">
        <v>491</v>
      </c>
      <c r="D84" s="370"/>
      <c r="E84" s="401"/>
      <c r="F84" s="371"/>
      <c r="G84" s="371"/>
      <c r="H84" s="371"/>
      <c r="I84" s="371"/>
      <c r="J84" s="371"/>
      <c r="K84" s="371"/>
      <c r="L84" s="402"/>
    </row>
    <row r="85" spans="2:14" ht="18">
      <c r="B85" s="362" t="str">
        <f>'[2]Orçamento'!B96</f>
        <v>7.2</v>
      </c>
      <c r="C85" s="344" t="s">
        <v>515</v>
      </c>
      <c r="D85" s="390" t="s">
        <v>407</v>
      </c>
      <c r="E85" s="344"/>
      <c r="F85" s="347"/>
      <c r="G85" s="403"/>
      <c r="H85" s="403"/>
      <c r="I85" s="403"/>
      <c r="J85" s="347"/>
      <c r="K85" s="403"/>
      <c r="L85" s="405"/>
      <c r="N85" s="321">
        <f>G85*K85</f>
        <v>0</v>
      </c>
    </row>
    <row r="86" spans="2:14" ht="18">
      <c r="B86" s="349"/>
      <c r="C86" s="376"/>
      <c r="D86" s="376"/>
      <c r="E86" s="350" t="s">
        <v>410</v>
      </c>
      <c r="F86" s="353"/>
      <c r="G86" s="400">
        <v>1.5</v>
      </c>
      <c r="H86" s="400">
        <v>1.1</v>
      </c>
      <c r="I86" s="400">
        <f>G86*H86</f>
        <v>1.6500000000000001</v>
      </c>
      <c r="J86" s="353"/>
      <c r="K86" s="400">
        <v>3</v>
      </c>
      <c r="L86" s="354">
        <f>I86*K86</f>
        <v>4.95</v>
      </c>
      <c r="N86" s="321">
        <f>G86*K86</f>
        <v>4.5</v>
      </c>
    </row>
    <row r="87" spans="2:14" ht="18">
      <c r="B87" s="355"/>
      <c r="C87" s="378"/>
      <c r="D87" s="378"/>
      <c r="E87" s="356"/>
      <c r="F87" s="357"/>
      <c r="G87" s="404"/>
      <c r="H87" s="404"/>
      <c r="I87" s="404"/>
      <c r="J87" s="357"/>
      <c r="K87" s="404"/>
      <c r="L87" s="358">
        <f>SUM(L86:L86)</f>
        <v>4.95</v>
      </c>
      <c r="N87" s="321">
        <f>G87*K87</f>
        <v>0</v>
      </c>
    </row>
    <row r="88" spans="2:12" ht="18">
      <c r="B88" s="407" t="str">
        <f>'[2]Orçamento'!B104</f>
        <v>8.00</v>
      </c>
      <c r="C88" s="408" t="s">
        <v>492</v>
      </c>
      <c r="D88" s="408"/>
      <c r="E88" s="409"/>
      <c r="F88" s="410"/>
      <c r="G88" s="410"/>
      <c r="H88" s="410"/>
      <c r="I88" s="410"/>
      <c r="J88" s="410"/>
      <c r="K88" s="410"/>
      <c r="L88" s="411"/>
    </row>
    <row r="89" spans="2:12" ht="18">
      <c r="B89" s="343" t="str">
        <f>'[2]Orçamento'!B111</f>
        <v>8.6</v>
      </c>
      <c r="C89" s="344" t="s">
        <v>490</v>
      </c>
      <c r="D89" s="390" t="s">
        <v>407</v>
      </c>
      <c r="E89" s="346"/>
      <c r="F89" s="347"/>
      <c r="G89" s="347"/>
      <c r="H89" s="347"/>
      <c r="I89" s="347"/>
      <c r="J89" s="347"/>
      <c r="K89" s="347"/>
      <c r="L89" s="348"/>
    </row>
    <row r="90" spans="2:12" ht="18">
      <c r="B90" s="406"/>
      <c r="C90" s="376"/>
      <c r="D90" s="376"/>
      <c r="E90" s="350" t="s">
        <v>411</v>
      </c>
      <c r="F90" s="353"/>
      <c r="G90" s="352">
        <v>0.8</v>
      </c>
      <c r="H90" s="352">
        <v>2.1</v>
      </c>
      <c r="I90" s="400">
        <f>G90*H90</f>
        <v>1.6800000000000002</v>
      </c>
      <c r="J90" s="353"/>
      <c r="K90" s="352">
        <v>9</v>
      </c>
      <c r="L90" s="354">
        <f>I90*K90</f>
        <v>15.120000000000001</v>
      </c>
    </row>
    <row r="91" spans="2:12" ht="18">
      <c r="B91" s="406"/>
      <c r="C91" s="376"/>
      <c r="D91" s="376"/>
      <c r="E91" s="350" t="s">
        <v>489</v>
      </c>
      <c r="F91" s="353"/>
      <c r="G91" s="352">
        <v>1.4</v>
      </c>
      <c r="H91" s="352">
        <v>2.1</v>
      </c>
      <c r="I91" s="400">
        <f>G91*H91</f>
        <v>2.94</v>
      </c>
      <c r="J91" s="353"/>
      <c r="K91" s="352">
        <v>2</v>
      </c>
      <c r="L91" s="354">
        <f>I91*K91</f>
        <v>5.88</v>
      </c>
    </row>
    <row r="92" spans="2:12" ht="18">
      <c r="B92" s="406"/>
      <c r="C92" s="376"/>
      <c r="D92" s="376"/>
      <c r="E92" s="351"/>
      <c r="F92" s="353"/>
      <c r="G92" s="353"/>
      <c r="H92" s="353"/>
      <c r="I92" s="353"/>
      <c r="J92" s="353"/>
      <c r="K92" s="353"/>
      <c r="L92" s="384">
        <f>SUM(L90:L91)</f>
        <v>21</v>
      </c>
    </row>
    <row r="93" spans="2:12" ht="18">
      <c r="B93" s="342" t="str">
        <f>'[2]Orçamento'!B104</f>
        <v>8.00</v>
      </c>
      <c r="C93" s="334" t="s">
        <v>512</v>
      </c>
      <c r="D93" s="334"/>
      <c r="E93" s="335"/>
      <c r="F93" s="337"/>
      <c r="G93" s="337"/>
      <c r="H93" s="337"/>
      <c r="I93" s="337"/>
      <c r="J93" s="337"/>
      <c r="K93" s="337"/>
      <c r="L93" s="338"/>
    </row>
    <row r="94" spans="2:12" ht="18">
      <c r="B94" s="362"/>
      <c r="C94" s="344" t="s">
        <v>450</v>
      </c>
      <c r="D94" s="390" t="s">
        <v>373</v>
      </c>
      <c r="E94" s="389" t="s">
        <v>454</v>
      </c>
      <c r="F94" s="389"/>
      <c r="G94" s="368"/>
      <c r="H94" s="368"/>
      <c r="I94" s="368"/>
      <c r="J94" s="389"/>
      <c r="K94" s="352">
        <v>2</v>
      </c>
      <c r="L94" s="359">
        <f aca="true" t="shared" si="3" ref="L94:L100">K94</f>
        <v>2</v>
      </c>
    </row>
    <row r="95" spans="2:12" ht="18">
      <c r="B95" s="383"/>
      <c r="C95" s="350" t="s">
        <v>493</v>
      </c>
      <c r="D95" s="382" t="s">
        <v>373</v>
      </c>
      <c r="E95" s="381" t="s">
        <v>454</v>
      </c>
      <c r="F95" s="412"/>
      <c r="G95" s="352"/>
      <c r="H95" s="352"/>
      <c r="I95" s="352"/>
      <c r="J95" s="381"/>
      <c r="K95" s="352">
        <v>2</v>
      </c>
      <c r="L95" s="384">
        <f t="shared" si="3"/>
        <v>2</v>
      </c>
    </row>
    <row r="96" spans="2:12" ht="18">
      <c r="B96" s="363"/>
      <c r="C96" s="439" t="s">
        <v>453</v>
      </c>
      <c r="D96" s="390" t="s">
        <v>373</v>
      </c>
      <c r="E96" s="381" t="s">
        <v>423</v>
      </c>
      <c r="F96" s="381"/>
      <c r="G96" s="352"/>
      <c r="H96" s="352"/>
      <c r="I96" s="352"/>
      <c r="J96" s="381"/>
      <c r="K96" s="352">
        <v>1</v>
      </c>
      <c r="L96" s="384">
        <f t="shared" si="3"/>
        <v>1</v>
      </c>
    </row>
    <row r="97" spans="2:12" ht="18">
      <c r="B97" s="383"/>
      <c r="C97" s="350" t="s">
        <v>419</v>
      </c>
      <c r="D97" s="382" t="s">
        <v>373</v>
      </c>
      <c r="E97" s="381" t="s">
        <v>423</v>
      </c>
      <c r="F97" s="412"/>
      <c r="G97" s="352"/>
      <c r="H97" s="352"/>
      <c r="I97" s="352"/>
      <c r="J97" s="381"/>
      <c r="K97" s="352">
        <v>1</v>
      </c>
      <c r="L97" s="384">
        <f t="shared" si="3"/>
        <v>1</v>
      </c>
    </row>
    <row r="98" spans="2:12" ht="18">
      <c r="B98" s="383"/>
      <c r="C98" s="350" t="s">
        <v>467</v>
      </c>
      <c r="D98" s="382"/>
      <c r="E98" s="381"/>
      <c r="F98" s="381"/>
      <c r="G98" s="352"/>
      <c r="H98" s="352"/>
      <c r="I98" s="352"/>
      <c r="J98" s="381"/>
      <c r="K98" s="352">
        <v>5</v>
      </c>
      <c r="L98" s="384">
        <f t="shared" si="3"/>
        <v>5</v>
      </c>
    </row>
    <row r="99" spans="2:12" ht="18">
      <c r="B99" s="363"/>
      <c r="C99" s="350" t="s">
        <v>468</v>
      </c>
      <c r="D99" s="382"/>
      <c r="E99" s="381"/>
      <c r="F99" s="381"/>
      <c r="G99" s="352"/>
      <c r="H99" s="352"/>
      <c r="I99" s="352"/>
      <c r="J99" s="381"/>
      <c r="K99" s="352">
        <v>1</v>
      </c>
      <c r="L99" s="384">
        <f t="shared" si="3"/>
        <v>1</v>
      </c>
    </row>
    <row r="100" spans="2:12" ht="18">
      <c r="B100" s="383"/>
      <c r="C100" s="350" t="s">
        <v>469</v>
      </c>
      <c r="D100" s="382"/>
      <c r="E100" s="381"/>
      <c r="F100" s="412"/>
      <c r="G100" s="352"/>
      <c r="H100" s="352"/>
      <c r="I100" s="352"/>
      <c r="J100" s="381"/>
      <c r="K100" s="352">
        <v>3</v>
      </c>
      <c r="L100" s="384">
        <f t="shared" si="3"/>
        <v>3</v>
      </c>
    </row>
    <row r="101" spans="2:12" ht="18">
      <c r="B101" s="385"/>
      <c r="C101" s="360"/>
      <c r="D101" s="387"/>
      <c r="E101" s="387"/>
      <c r="F101" s="387"/>
      <c r="G101" s="361"/>
      <c r="H101" s="361"/>
      <c r="I101" s="361"/>
      <c r="J101" s="387"/>
      <c r="K101" s="387"/>
      <c r="L101" s="358"/>
    </row>
    <row r="102" spans="2:12" ht="18">
      <c r="B102" s="366" t="str">
        <f>'[2]Orçamento'!B170</f>
        <v>10.00</v>
      </c>
      <c r="C102" s="334" t="s">
        <v>497</v>
      </c>
      <c r="D102" s="334"/>
      <c r="E102" s="335"/>
      <c r="F102" s="337"/>
      <c r="G102" s="337"/>
      <c r="H102" s="337"/>
      <c r="I102" s="337"/>
      <c r="J102" s="337"/>
      <c r="K102" s="337"/>
      <c r="L102" s="338"/>
    </row>
    <row r="103" spans="2:12" ht="36">
      <c r="B103" s="362"/>
      <c r="C103" s="344" t="s">
        <v>494</v>
      </c>
      <c r="D103" s="390" t="s">
        <v>373</v>
      </c>
      <c r="E103" s="389"/>
      <c r="F103" s="413"/>
      <c r="G103" s="368"/>
      <c r="H103" s="368"/>
      <c r="I103" s="368"/>
      <c r="J103" s="389"/>
      <c r="K103" s="352">
        <v>25</v>
      </c>
      <c r="L103" s="359">
        <f>K103</f>
        <v>25</v>
      </c>
    </row>
    <row r="104" spans="2:12" ht="18">
      <c r="B104" s="383"/>
      <c r="C104" s="350" t="s">
        <v>495</v>
      </c>
      <c r="D104" s="390" t="s">
        <v>373</v>
      </c>
      <c r="E104" s="381"/>
      <c r="F104" s="400"/>
      <c r="G104" s="352"/>
      <c r="H104" s="352"/>
      <c r="I104" s="352"/>
      <c r="J104" s="381"/>
      <c r="K104" s="352">
        <v>25</v>
      </c>
      <c r="L104" s="384">
        <f>K104</f>
        <v>25</v>
      </c>
    </row>
    <row r="105" spans="2:12" ht="18">
      <c r="B105" s="383"/>
      <c r="C105" s="350" t="s">
        <v>496</v>
      </c>
      <c r="D105" s="390" t="s">
        <v>373</v>
      </c>
      <c r="E105" s="381"/>
      <c r="F105" s="381"/>
      <c r="G105" s="352"/>
      <c r="H105" s="352"/>
      <c r="I105" s="352"/>
      <c r="J105" s="381"/>
      <c r="K105" s="352">
        <v>17</v>
      </c>
      <c r="L105" s="384">
        <f>K105</f>
        <v>17</v>
      </c>
    </row>
    <row r="106" spans="2:12" ht="18">
      <c r="B106" s="366"/>
      <c r="C106" s="334" t="s">
        <v>25</v>
      </c>
      <c r="D106" s="334"/>
      <c r="E106" s="335"/>
      <c r="F106" s="337"/>
      <c r="G106" s="337"/>
      <c r="H106" s="337"/>
      <c r="I106" s="337"/>
      <c r="J106" s="337"/>
      <c r="K106" s="337"/>
      <c r="L106" s="338"/>
    </row>
    <row r="107" spans="2:12" ht="18">
      <c r="B107" s="362"/>
      <c r="C107" s="344" t="s">
        <v>499</v>
      </c>
      <c r="D107" s="390" t="s">
        <v>407</v>
      </c>
      <c r="E107" s="414"/>
      <c r="F107" s="368"/>
      <c r="G107" s="368"/>
      <c r="H107" s="368"/>
      <c r="I107" s="368"/>
      <c r="J107" s="368"/>
      <c r="K107" s="368"/>
      <c r="L107" s="359"/>
    </row>
    <row r="108" spans="2:12" ht="18">
      <c r="B108" s="363"/>
      <c r="C108" s="350"/>
      <c r="D108" s="382"/>
      <c r="E108" s="415" t="s">
        <v>502</v>
      </c>
      <c r="F108" s="352"/>
      <c r="G108" s="352"/>
      <c r="H108" s="352"/>
      <c r="I108" s="352"/>
      <c r="J108" s="352"/>
      <c r="K108" s="352"/>
      <c r="L108" s="384"/>
    </row>
    <row r="109" spans="2:12" ht="18">
      <c r="B109" s="363"/>
      <c r="C109" s="350"/>
      <c r="D109" s="382"/>
      <c r="E109" s="440" t="s">
        <v>422</v>
      </c>
      <c r="F109" s="352"/>
      <c r="G109" s="352"/>
      <c r="H109" s="352"/>
      <c r="I109" s="352">
        <v>31.949999999999996</v>
      </c>
      <c r="J109" s="352"/>
      <c r="K109" s="352"/>
      <c r="L109" s="354">
        <f>I109</f>
        <v>31.949999999999996</v>
      </c>
    </row>
    <row r="110" spans="2:12" ht="18">
      <c r="B110" s="383"/>
      <c r="C110" s="350"/>
      <c r="D110" s="382"/>
      <c r="E110" s="417" t="s">
        <v>423</v>
      </c>
      <c r="F110" s="352"/>
      <c r="G110" s="352"/>
      <c r="H110" s="352"/>
      <c r="I110" s="352">
        <v>36.6</v>
      </c>
      <c r="J110" s="352"/>
      <c r="K110" s="352"/>
      <c r="L110" s="354">
        <f aca="true" t="shared" si="4" ref="L110:L121">I110</f>
        <v>36.6</v>
      </c>
    </row>
    <row r="111" spans="2:12" ht="18">
      <c r="B111" s="383"/>
      <c r="C111" s="350"/>
      <c r="D111" s="382"/>
      <c r="E111" s="417" t="s">
        <v>424</v>
      </c>
      <c r="F111" s="352"/>
      <c r="G111" s="352"/>
      <c r="H111" s="352"/>
      <c r="I111" s="352">
        <v>48.900000000000006</v>
      </c>
      <c r="J111" s="352"/>
      <c r="K111" s="352"/>
      <c r="L111" s="354">
        <f t="shared" si="4"/>
        <v>48.900000000000006</v>
      </c>
    </row>
    <row r="112" spans="2:12" ht="18">
      <c r="B112" s="383"/>
      <c r="C112" s="350"/>
      <c r="D112" s="382"/>
      <c r="E112" s="417" t="s">
        <v>425</v>
      </c>
      <c r="F112" s="352"/>
      <c r="G112" s="352"/>
      <c r="H112" s="352"/>
      <c r="I112" s="352">
        <v>36.6</v>
      </c>
      <c r="J112" s="352"/>
      <c r="K112" s="352"/>
      <c r="L112" s="354">
        <f t="shared" si="4"/>
        <v>36.6</v>
      </c>
    </row>
    <row r="113" spans="2:12" ht="18">
      <c r="B113" s="383"/>
      <c r="C113" s="350"/>
      <c r="D113" s="382"/>
      <c r="E113" s="417" t="s">
        <v>426</v>
      </c>
      <c r="F113" s="352"/>
      <c r="G113" s="352"/>
      <c r="H113" s="352"/>
      <c r="I113" s="352">
        <v>36.300000000000004</v>
      </c>
      <c r="J113" s="352"/>
      <c r="K113" s="352"/>
      <c r="L113" s="354">
        <f t="shared" si="4"/>
        <v>36.300000000000004</v>
      </c>
    </row>
    <row r="114" spans="2:12" ht="18">
      <c r="B114" s="383"/>
      <c r="C114" s="350"/>
      <c r="D114" s="382"/>
      <c r="E114" s="417" t="s">
        <v>427</v>
      </c>
      <c r="F114" s="352"/>
      <c r="G114" s="352"/>
      <c r="H114" s="352"/>
      <c r="I114" s="352">
        <v>48.900000000000006</v>
      </c>
      <c r="J114" s="352"/>
      <c r="K114" s="352"/>
      <c r="L114" s="354">
        <f t="shared" si="4"/>
        <v>48.900000000000006</v>
      </c>
    </row>
    <row r="115" spans="2:12" ht="18">
      <c r="B115" s="383"/>
      <c r="C115" s="350"/>
      <c r="D115" s="382"/>
      <c r="E115" s="417" t="s">
        <v>409</v>
      </c>
      <c r="F115" s="352"/>
      <c r="G115" s="352"/>
      <c r="H115" s="352"/>
      <c r="I115" s="352">
        <v>112.20000000000002</v>
      </c>
      <c r="J115" s="352"/>
      <c r="K115" s="352"/>
      <c r="L115" s="354">
        <f t="shared" si="4"/>
        <v>112.20000000000002</v>
      </c>
    </row>
    <row r="116" spans="2:12" ht="18">
      <c r="B116" s="383"/>
      <c r="C116" s="350"/>
      <c r="D116" s="382"/>
      <c r="E116" s="417" t="s">
        <v>428</v>
      </c>
      <c r="F116" s="352"/>
      <c r="G116" s="352"/>
      <c r="H116" s="352"/>
      <c r="I116" s="352">
        <v>38.400000000000006</v>
      </c>
      <c r="J116" s="352"/>
      <c r="K116" s="352"/>
      <c r="L116" s="354">
        <f t="shared" si="4"/>
        <v>38.400000000000006</v>
      </c>
    </row>
    <row r="117" spans="2:12" ht="18">
      <c r="B117" s="383"/>
      <c r="C117" s="350"/>
      <c r="D117" s="382"/>
      <c r="E117" s="417" t="s">
        <v>429</v>
      </c>
      <c r="F117" s="352"/>
      <c r="G117" s="352"/>
      <c r="H117" s="352"/>
      <c r="I117" s="352">
        <v>53.099999999999994</v>
      </c>
      <c r="J117" s="352"/>
      <c r="K117" s="352"/>
      <c r="L117" s="354">
        <f t="shared" si="4"/>
        <v>53.099999999999994</v>
      </c>
    </row>
    <row r="118" spans="2:12" ht="18">
      <c r="B118" s="383"/>
      <c r="C118" s="350"/>
      <c r="D118" s="382"/>
      <c r="E118" s="417" t="s">
        <v>429</v>
      </c>
      <c r="F118" s="352"/>
      <c r="G118" s="352"/>
      <c r="H118" s="352"/>
      <c r="I118" s="352">
        <v>53.099999999999994</v>
      </c>
      <c r="J118" s="352"/>
      <c r="K118" s="352"/>
      <c r="L118" s="354">
        <f t="shared" si="4"/>
        <v>53.099999999999994</v>
      </c>
    </row>
    <row r="119" spans="2:12" ht="18">
      <c r="B119" s="383"/>
      <c r="C119" s="350"/>
      <c r="D119" s="382"/>
      <c r="E119" s="417" t="s">
        <v>464</v>
      </c>
      <c r="F119" s="352"/>
      <c r="G119" s="352"/>
      <c r="H119" s="352"/>
      <c r="I119" s="352">
        <v>55.199999999999996</v>
      </c>
      <c r="J119" s="352"/>
      <c r="K119" s="352"/>
      <c r="L119" s="354">
        <f t="shared" si="4"/>
        <v>55.199999999999996</v>
      </c>
    </row>
    <row r="120" spans="2:12" ht="18">
      <c r="B120" s="383"/>
      <c r="C120" s="350"/>
      <c r="D120" s="382"/>
      <c r="E120" s="417" t="s">
        <v>409</v>
      </c>
      <c r="F120" s="352"/>
      <c r="G120" s="352"/>
      <c r="H120" s="352"/>
      <c r="I120" s="352">
        <v>44.099999999999994</v>
      </c>
      <c r="J120" s="352"/>
      <c r="K120" s="352"/>
      <c r="L120" s="354">
        <f t="shared" si="4"/>
        <v>44.099999999999994</v>
      </c>
    </row>
    <row r="121" spans="2:12" ht="18">
      <c r="B121" s="383"/>
      <c r="C121" s="350"/>
      <c r="D121" s="382"/>
      <c r="E121" s="417" t="s">
        <v>465</v>
      </c>
      <c r="F121" s="352"/>
      <c r="G121" s="352"/>
      <c r="H121" s="352"/>
      <c r="I121" s="352">
        <v>71.1</v>
      </c>
      <c r="J121" s="352"/>
      <c r="K121" s="352"/>
      <c r="L121" s="354">
        <f t="shared" si="4"/>
        <v>71.1</v>
      </c>
    </row>
    <row r="122" spans="2:12" ht="18">
      <c r="B122" s="385"/>
      <c r="C122" s="360"/>
      <c r="D122" s="388"/>
      <c r="E122" s="441"/>
      <c r="F122" s="361"/>
      <c r="G122" s="361"/>
      <c r="H122" s="361"/>
      <c r="I122" s="361"/>
      <c r="J122" s="361"/>
      <c r="K122" s="361"/>
      <c r="L122" s="358">
        <f>SUM(L109:L121)</f>
        <v>666.4500000000002</v>
      </c>
    </row>
    <row r="123" spans="2:12" ht="18">
      <c r="B123" s="383"/>
      <c r="C123" s="350" t="s">
        <v>500</v>
      </c>
      <c r="D123" s="382" t="s">
        <v>0</v>
      </c>
      <c r="E123" s="381"/>
      <c r="F123" s="352"/>
      <c r="G123" s="352"/>
      <c r="H123" s="352"/>
      <c r="I123" s="352"/>
      <c r="J123" s="352"/>
      <c r="K123" s="352"/>
      <c r="L123" s="354"/>
    </row>
    <row r="124" spans="2:12" ht="18">
      <c r="B124" s="383"/>
      <c r="C124" s="350"/>
      <c r="D124" s="382"/>
      <c r="E124" s="415" t="s">
        <v>502</v>
      </c>
      <c r="F124" s="352"/>
      <c r="G124" s="352"/>
      <c r="H124" s="352"/>
      <c r="I124" s="352"/>
      <c r="J124" s="352"/>
      <c r="K124" s="352"/>
      <c r="L124" s="384"/>
    </row>
    <row r="125" spans="2:12" ht="18">
      <c r="B125" s="383"/>
      <c r="C125" s="350"/>
      <c r="D125" s="382"/>
      <c r="E125" s="440" t="s">
        <v>422</v>
      </c>
      <c r="F125" s="352"/>
      <c r="G125" s="352"/>
      <c r="H125" s="352"/>
      <c r="I125" s="352">
        <v>31.949999999999996</v>
      </c>
      <c r="J125" s="352"/>
      <c r="K125" s="352"/>
      <c r="L125" s="354">
        <f>I125</f>
        <v>31.949999999999996</v>
      </c>
    </row>
    <row r="126" spans="2:12" ht="18">
      <c r="B126" s="383"/>
      <c r="C126" s="350"/>
      <c r="D126" s="382"/>
      <c r="E126" s="417" t="s">
        <v>423</v>
      </c>
      <c r="F126" s="352"/>
      <c r="G126" s="352"/>
      <c r="H126" s="352"/>
      <c r="I126" s="352">
        <v>36.6</v>
      </c>
      <c r="J126" s="352"/>
      <c r="K126" s="352"/>
      <c r="L126" s="354">
        <f aca="true" t="shared" si="5" ref="L126:L137">I126</f>
        <v>36.6</v>
      </c>
    </row>
    <row r="127" spans="2:12" ht="18">
      <c r="B127" s="383"/>
      <c r="C127" s="350"/>
      <c r="D127" s="382"/>
      <c r="E127" s="417" t="s">
        <v>424</v>
      </c>
      <c r="F127" s="352"/>
      <c r="G127" s="352"/>
      <c r="H127" s="352"/>
      <c r="I127" s="352">
        <v>48.900000000000006</v>
      </c>
      <c r="J127" s="352"/>
      <c r="K127" s="352"/>
      <c r="L127" s="354">
        <f t="shared" si="5"/>
        <v>48.900000000000006</v>
      </c>
    </row>
    <row r="128" spans="2:12" ht="18">
      <c r="B128" s="383"/>
      <c r="C128" s="350"/>
      <c r="D128" s="382"/>
      <c r="E128" s="417" t="s">
        <v>425</v>
      </c>
      <c r="F128" s="352"/>
      <c r="G128" s="352"/>
      <c r="H128" s="352"/>
      <c r="I128" s="352">
        <v>36.6</v>
      </c>
      <c r="J128" s="352"/>
      <c r="K128" s="352"/>
      <c r="L128" s="354">
        <f t="shared" si="5"/>
        <v>36.6</v>
      </c>
    </row>
    <row r="129" spans="2:12" ht="18">
      <c r="B129" s="383"/>
      <c r="C129" s="350"/>
      <c r="D129" s="382"/>
      <c r="E129" s="417" t="s">
        <v>426</v>
      </c>
      <c r="F129" s="352"/>
      <c r="G129" s="352"/>
      <c r="H129" s="352"/>
      <c r="I129" s="352">
        <v>36.300000000000004</v>
      </c>
      <c r="J129" s="352"/>
      <c r="K129" s="352"/>
      <c r="L129" s="354">
        <f t="shared" si="5"/>
        <v>36.300000000000004</v>
      </c>
    </row>
    <row r="130" spans="2:12" ht="18">
      <c r="B130" s="383"/>
      <c r="C130" s="350"/>
      <c r="D130" s="382"/>
      <c r="E130" s="417" t="s">
        <v>427</v>
      </c>
      <c r="F130" s="352"/>
      <c r="G130" s="352"/>
      <c r="H130" s="352"/>
      <c r="I130" s="352">
        <v>48.900000000000006</v>
      </c>
      <c r="J130" s="352"/>
      <c r="K130" s="352"/>
      <c r="L130" s="354">
        <f t="shared" si="5"/>
        <v>48.900000000000006</v>
      </c>
    </row>
    <row r="131" spans="2:12" ht="18">
      <c r="B131" s="383"/>
      <c r="C131" s="350"/>
      <c r="D131" s="382"/>
      <c r="E131" s="417" t="s">
        <v>409</v>
      </c>
      <c r="F131" s="352"/>
      <c r="G131" s="352"/>
      <c r="H131" s="352"/>
      <c r="I131" s="352">
        <v>112.20000000000002</v>
      </c>
      <c r="J131" s="352"/>
      <c r="K131" s="352"/>
      <c r="L131" s="354">
        <f t="shared" si="5"/>
        <v>112.20000000000002</v>
      </c>
    </row>
    <row r="132" spans="2:12" ht="18">
      <c r="B132" s="383"/>
      <c r="C132" s="350"/>
      <c r="D132" s="382"/>
      <c r="E132" s="417" t="s">
        <v>428</v>
      </c>
      <c r="F132" s="352"/>
      <c r="G132" s="352"/>
      <c r="H132" s="352"/>
      <c r="I132" s="352">
        <v>38.400000000000006</v>
      </c>
      <c r="J132" s="352"/>
      <c r="K132" s="352"/>
      <c r="L132" s="354">
        <f t="shared" si="5"/>
        <v>38.400000000000006</v>
      </c>
    </row>
    <row r="133" spans="2:12" ht="18">
      <c r="B133" s="383"/>
      <c r="C133" s="350"/>
      <c r="D133" s="382"/>
      <c r="E133" s="417" t="s">
        <v>429</v>
      </c>
      <c r="F133" s="352"/>
      <c r="G133" s="352"/>
      <c r="H133" s="352"/>
      <c r="I133" s="352">
        <v>53.099999999999994</v>
      </c>
      <c r="J133" s="352"/>
      <c r="K133" s="352"/>
      <c r="L133" s="354">
        <f t="shared" si="5"/>
        <v>53.099999999999994</v>
      </c>
    </row>
    <row r="134" spans="2:12" ht="18">
      <c r="B134" s="383"/>
      <c r="C134" s="350"/>
      <c r="D134" s="382"/>
      <c r="E134" s="417" t="s">
        <v>429</v>
      </c>
      <c r="F134" s="352"/>
      <c r="G134" s="352"/>
      <c r="H134" s="352"/>
      <c r="I134" s="352">
        <v>53.099999999999994</v>
      </c>
      <c r="J134" s="352"/>
      <c r="K134" s="352"/>
      <c r="L134" s="354">
        <f t="shared" si="5"/>
        <v>53.099999999999994</v>
      </c>
    </row>
    <row r="135" spans="2:12" ht="18">
      <c r="B135" s="383"/>
      <c r="C135" s="350"/>
      <c r="D135" s="382"/>
      <c r="E135" s="417" t="s">
        <v>464</v>
      </c>
      <c r="F135" s="352"/>
      <c r="G135" s="352"/>
      <c r="H135" s="352"/>
      <c r="I135" s="352">
        <v>55.199999999999996</v>
      </c>
      <c r="J135" s="352"/>
      <c r="K135" s="352"/>
      <c r="L135" s="354">
        <f t="shared" si="5"/>
        <v>55.199999999999996</v>
      </c>
    </row>
    <row r="136" spans="2:12" ht="18">
      <c r="B136" s="383"/>
      <c r="C136" s="350"/>
      <c r="D136" s="382"/>
      <c r="E136" s="417" t="s">
        <v>409</v>
      </c>
      <c r="F136" s="352"/>
      <c r="G136" s="352"/>
      <c r="H136" s="352"/>
      <c r="I136" s="352">
        <v>44.099999999999994</v>
      </c>
      <c r="J136" s="352"/>
      <c r="K136" s="352"/>
      <c r="L136" s="354">
        <f t="shared" si="5"/>
        <v>44.099999999999994</v>
      </c>
    </row>
    <row r="137" spans="2:12" ht="18">
      <c r="B137" s="383"/>
      <c r="C137" s="350"/>
      <c r="D137" s="382"/>
      <c r="E137" s="417" t="s">
        <v>465</v>
      </c>
      <c r="F137" s="352"/>
      <c r="G137" s="352"/>
      <c r="H137" s="352"/>
      <c r="I137" s="352">
        <v>71.1</v>
      </c>
      <c r="J137" s="352"/>
      <c r="K137" s="352"/>
      <c r="L137" s="354">
        <f t="shared" si="5"/>
        <v>71.1</v>
      </c>
    </row>
    <row r="138" spans="2:12" ht="18">
      <c r="B138" s="383"/>
      <c r="C138" s="350"/>
      <c r="D138" s="382"/>
      <c r="E138" s="372"/>
      <c r="F138" s="352"/>
      <c r="G138" s="352"/>
      <c r="H138" s="352"/>
      <c r="I138" s="352"/>
      <c r="J138" s="352"/>
      <c r="K138" s="352"/>
      <c r="L138" s="384">
        <f>SUM(L125:L137)</f>
        <v>666.4500000000002</v>
      </c>
    </row>
    <row r="139" spans="2:12" ht="18">
      <c r="B139" s="397"/>
      <c r="C139" s="344" t="s">
        <v>504</v>
      </c>
      <c r="D139" s="390" t="s">
        <v>0</v>
      </c>
      <c r="E139" s="380"/>
      <c r="F139" s="368"/>
      <c r="G139" s="368"/>
      <c r="H139" s="368"/>
      <c r="I139" s="435"/>
      <c r="J139" s="435"/>
      <c r="K139" s="435"/>
      <c r="L139" s="416"/>
    </row>
    <row r="140" spans="2:12" ht="18">
      <c r="B140" s="383"/>
      <c r="C140" s="350"/>
      <c r="D140" s="382"/>
      <c r="E140" s="372" t="s">
        <v>505</v>
      </c>
      <c r="F140" s="352"/>
      <c r="G140" s="352"/>
      <c r="H140" s="352"/>
      <c r="I140" s="352">
        <f>169.22+3.9</f>
        <v>173.12</v>
      </c>
      <c r="J140" s="352"/>
      <c r="K140" s="352"/>
      <c r="L140" s="354">
        <f>I140</f>
        <v>173.12</v>
      </c>
    </row>
    <row r="141" spans="2:12" ht="18">
      <c r="B141" s="385"/>
      <c r="C141" s="360"/>
      <c r="D141" s="388"/>
      <c r="E141" s="441"/>
      <c r="F141" s="361"/>
      <c r="G141" s="361"/>
      <c r="H141" s="361"/>
      <c r="I141" s="361"/>
      <c r="J141" s="361"/>
      <c r="K141" s="361"/>
      <c r="L141" s="358">
        <f>SUM(L140)</f>
        <v>173.12</v>
      </c>
    </row>
    <row r="142" spans="2:12" ht="18">
      <c r="B142" s="383"/>
      <c r="C142" s="350" t="s">
        <v>506</v>
      </c>
      <c r="D142" s="382" t="s">
        <v>0</v>
      </c>
      <c r="E142" s="372"/>
      <c r="F142" s="352"/>
      <c r="G142" s="352"/>
      <c r="H142" s="352"/>
      <c r="I142" s="352"/>
      <c r="J142" s="352"/>
      <c r="K142" s="352"/>
      <c r="L142" s="384"/>
    </row>
    <row r="143" spans="2:12" ht="18">
      <c r="B143" s="383"/>
      <c r="C143" s="350"/>
      <c r="D143" s="382"/>
      <c r="E143" s="372" t="s">
        <v>505</v>
      </c>
      <c r="F143" s="352"/>
      <c r="G143" s="352"/>
      <c r="H143" s="352"/>
      <c r="I143" s="352">
        <f>169.22+3.9</f>
        <v>173.12</v>
      </c>
      <c r="J143" s="352"/>
      <c r="K143" s="352"/>
      <c r="L143" s="354">
        <f>I143</f>
        <v>173.12</v>
      </c>
    </row>
    <row r="144" spans="2:12" ht="18">
      <c r="B144" s="383"/>
      <c r="C144" s="350"/>
      <c r="D144" s="382"/>
      <c r="E144" s="372"/>
      <c r="F144" s="352"/>
      <c r="G144" s="352"/>
      <c r="H144" s="352"/>
      <c r="I144" s="352"/>
      <c r="J144" s="352"/>
      <c r="K144" s="352"/>
      <c r="L144" s="384">
        <f>SUM(L143)</f>
        <v>173.12</v>
      </c>
    </row>
    <row r="145" spans="2:12" ht="36">
      <c r="B145" s="343"/>
      <c r="C145" s="344" t="s">
        <v>501</v>
      </c>
      <c r="D145" s="390" t="s">
        <v>407</v>
      </c>
      <c r="E145" s="346"/>
      <c r="F145" s="347"/>
      <c r="G145" s="347"/>
      <c r="H145" s="347"/>
      <c r="I145" s="347"/>
      <c r="J145" s="347"/>
      <c r="K145" s="347"/>
      <c r="L145" s="348"/>
    </row>
    <row r="146" spans="2:12" ht="18">
      <c r="B146" s="393"/>
      <c r="C146" s="350"/>
      <c r="D146" s="382"/>
      <c r="E146" s="439" t="s">
        <v>470</v>
      </c>
      <c r="F146" s="352">
        <v>2.1</v>
      </c>
      <c r="G146" s="352">
        <v>0.8</v>
      </c>
      <c r="H146" s="353"/>
      <c r="I146" s="394">
        <f>F146*G146</f>
        <v>1.6800000000000002</v>
      </c>
      <c r="J146" s="353"/>
      <c r="K146" s="352">
        <v>9</v>
      </c>
      <c r="L146" s="354">
        <f>I146*K146*2.5</f>
        <v>37.800000000000004</v>
      </c>
    </row>
    <row r="147" spans="2:12" ht="18">
      <c r="B147" s="393"/>
      <c r="C147" s="350"/>
      <c r="D147" s="382"/>
      <c r="E147" s="439" t="s">
        <v>471</v>
      </c>
      <c r="F147" s="352">
        <v>2.1</v>
      </c>
      <c r="G147" s="352">
        <v>1.4</v>
      </c>
      <c r="H147" s="353"/>
      <c r="I147" s="394">
        <f>F147*G147</f>
        <v>2.94</v>
      </c>
      <c r="J147" s="353"/>
      <c r="K147" s="352">
        <v>2</v>
      </c>
      <c r="L147" s="354">
        <f>I147*K147*2.5</f>
        <v>14.7</v>
      </c>
    </row>
    <row r="148" spans="2:12" ht="18">
      <c r="B148" s="395"/>
      <c r="C148" s="360"/>
      <c r="D148" s="388"/>
      <c r="E148" s="360"/>
      <c r="F148" s="357"/>
      <c r="G148" s="357"/>
      <c r="H148" s="357"/>
      <c r="I148" s="396"/>
      <c r="J148" s="357"/>
      <c r="K148" s="357"/>
      <c r="L148" s="358">
        <f>SUM(L146:L147)</f>
        <v>52.5</v>
      </c>
    </row>
    <row r="149" spans="2:12" ht="18">
      <c r="B149" s="393"/>
      <c r="C149" s="350" t="s">
        <v>503</v>
      </c>
      <c r="D149" s="382" t="s">
        <v>407</v>
      </c>
      <c r="E149" s="351"/>
      <c r="F149" s="353"/>
      <c r="G149" s="353"/>
      <c r="H149" s="353"/>
      <c r="I149" s="353"/>
      <c r="J149" s="353"/>
      <c r="K149" s="353"/>
      <c r="L149" s="373"/>
    </row>
    <row r="150" spans="2:12" ht="18">
      <c r="B150" s="349"/>
      <c r="C150" s="376"/>
      <c r="D150" s="376"/>
      <c r="E150" s="439" t="s">
        <v>470</v>
      </c>
      <c r="F150" s="352">
        <v>2.1</v>
      </c>
      <c r="G150" s="352">
        <v>0.8</v>
      </c>
      <c r="H150" s="353"/>
      <c r="I150" s="394">
        <f>F150*G150</f>
        <v>1.6800000000000002</v>
      </c>
      <c r="J150" s="353"/>
      <c r="K150" s="352">
        <v>9</v>
      </c>
      <c r="L150" s="354">
        <f>I150*K150*2.5</f>
        <v>37.800000000000004</v>
      </c>
    </row>
    <row r="151" spans="2:12" ht="18">
      <c r="B151" s="349"/>
      <c r="C151" s="376"/>
      <c r="D151" s="376"/>
      <c r="E151" s="439" t="s">
        <v>471</v>
      </c>
      <c r="F151" s="352">
        <v>2.1</v>
      </c>
      <c r="G151" s="352">
        <v>1.4</v>
      </c>
      <c r="H151" s="353"/>
      <c r="I151" s="394">
        <f>F151*G151</f>
        <v>2.94</v>
      </c>
      <c r="J151" s="353"/>
      <c r="K151" s="352">
        <v>2</v>
      </c>
      <c r="L151" s="354">
        <f>I151*K151*2.5</f>
        <v>14.7</v>
      </c>
    </row>
    <row r="152" spans="2:12" ht="18">
      <c r="B152" s="349"/>
      <c r="C152" s="376"/>
      <c r="D152" s="376"/>
      <c r="E152" s="350"/>
      <c r="F152" s="353"/>
      <c r="G152" s="353"/>
      <c r="H152" s="353"/>
      <c r="I152" s="394"/>
      <c r="J152" s="353"/>
      <c r="K152" s="353"/>
      <c r="L152" s="384">
        <f>SUM(L150:L151)</f>
        <v>52.5</v>
      </c>
    </row>
    <row r="153" spans="2:12" ht="18" customHeight="1">
      <c r="B153" s="342"/>
      <c r="C153" s="334" t="s">
        <v>26</v>
      </c>
      <c r="D153" s="334"/>
      <c r="E153" s="335"/>
      <c r="F153" s="337"/>
      <c r="G153" s="337"/>
      <c r="H153" s="337"/>
      <c r="I153" s="337"/>
      <c r="J153" s="337"/>
      <c r="K153" s="337"/>
      <c r="L153" s="338"/>
    </row>
    <row r="154" spans="2:12" ht="18" customHeight="1">
      <c r="B154" s="343"/>
      <c r="C154" s="344" t="s">
        <v>507</v>
      </c>
      <c r="D154" s="390" t="s">
        <v>53</v>
      </c>
      <c r="E154" s="389"/>
      <c r="F154" s="368"/>
      <c r="G154" s="368"/>
      <c r="H154" s="368"/>
      <c r="I154" s="413"/>
      <c r="J154" s="418"/>
      <c r="K154" s="418"/>
      <c r="L154" s="359"/>
    </row>
    <row r="155" spans="2:12" ht="18" customHeight="1">
      <c r="B155" s="419"/>
      <c r="C155" s="329"/>
      <c r="D155" s="329"/>
      <c r="E155" s="381" t="s">
        <v>412</v>
      </c>
      <c r="F155" s="382">
        <f>16.6+14+10.3+3.8+3.5+3.6</f>
        <v>51.800000000000004</v>
      </c>
      <c r="G155" s="352"/>
      <c r="H155" s="352"/>
      <c r="I155" s="412"/>
      <c r="J155" s="329"/>
      <c r="K155" s="329"/>
      <c r="L155" s="354">
        <f>F155</f>
        <v>51.800000000000004</v>
      </c>
    </row>
    <row r="156" spans="2:12" ht="18" customHeight="1">
      <c r="B156" s="420"/>
      <c r="C156" s="421"/>
      <c r="D156" s="421"/>
      <c r="E156" s="387"/>
      <c r="F156" s="361"/>
      <c r="G156" s="361"/>
      <c r="H156" s="361"/>
      <c r="I156" s="422"/>
      <c r="J156" s="421"/>
      <c r="K156" s="421"/>
      <c r="L156" s="358">
        <f>L155</f>
        <v>51.800000000000004</v>
      </c>
    </row>
    <row r="157" spans="2:12" ht="18" customHeight="1">
      <c r="B157" s="442"/>
      <c r="C157" s="344" t="s">
        <v>508</v>
      </c>
      <c r="D157" s="390" t="s">
        <v>0</v>
      </c>
      <c r="E157" s="389"/>
      <c r="F157" s="368"/>
      <c r="G157" s="368"/>
      <c r="H157" s="368"/>
      <c r="I157" s="413"/>
      <c r="J157" s="418"/>
      <c r="K157" s="418"/>
      <c r="L157" s="359"/>
    </row>
    <row r="158" spans="2:12" ht="18" customHeight="1">
      <c r="B158" s="419"/>
      <c r="C158" s="329"/>
      <c r="D158" s="329"/>
      <c r="E158" s="381" t="s">
        <v>479</v>
      </c>
      <c r="F158" s="352">
        <v>2.25</v>
      </c>
      <c r="G158" s="352">
        <v>0.6</v>
      </c>
      <c r="H158" s="352"/>
      <c r="I158" s="412">
        <f>F158*G158</f>
        <v>1.3499999999999999</v>
      </c>
      <c r="J158" s="329"/>
      <c r="K158" s="329"/>
      <c r="L158" s="354">
        <f>I158</f>
        <v>1.3499999999999999</v>
      </c>
    </row>
    <row r="159" spans="2:12" ht="18" customHeight="1">
      <c r="B159" s="420"/>
      <c r="C159" s="421"/>
      <c r="D159" s="421"/>
      <c r="E159" s="387"/>
      <c r="F159" s="361"/>
      <c r="G159" s="361"/>
      <c r="H159" s="361"/>
      <c r="I159" s="422"/>
      <c r="J159" s="421"/>
      <c r="K159" s="421"/>
      <c r="L159" s="358">
        <f>SUM(L158)</f>
        <v>1.3499999999999999</v>
      </c>
    </row>
    <row r="160" spans="2:12" ht="18" customHeight="1">
      <c r="B160" s="442"/>
      <c r="C160" s="344" t="s">
        <v>510</v>
      </c>
      <c r="D160" s="390" t="s">
        <v>373</v>
      </c>
      <c r="E160" s="389"/>
      <c r="F160" s="368"/>
      <c r="G160" s="368"/>
      <c r="H160" s="368"/>
      <c r="I160" s="413"/>
      <c r="J160" s="418"/>
      <c r="K160" s="418"/>
      <c r="L160" s="359"/>
    </row>
    <row r="161" spans="2:12" ht="18" customHeight="1">
      <c r="B161" s="419"/>
      <c r="C161" s="329"/>
      <c r="D161" s="329"/>
      <c r="E161" s="417" t="s">
        <v>424</v>
      </c>
      <c r="F161" s="352"/>
      <c r="G161" s="352"/>
      <c r="H161" s="352"/>
      <c r="I161" s="412"/>
      <c r="J161" s="329"/>
      <c r="K161" s="352">
        <v>2</v>
      </c>
      <c r="L161" s="354">
        <f aca="true" t="shared" si="6" ref="L161:L166">K161</f>
        <v>2</v>
      </c>
    </row>
    <row r="162" spans="2:12" ht="18" customHeight="1">
      <c r="B162" s="419"/>
      <c r="C162" s="329"/>
      <c r="D162" s="329"/>
      <c r="E162" s="417" t="s">
        <v>426</v>
      </c>
      <c r="F162" s="352"/>
      <c r="G162" s="352"/>
      <c r="H162" s="352"/>
      <c r="I162" s="412"/>
      <c r="J162" s="329"/>
      <c r="K162" s="352">
        <v>1</v>
      </c>
      <c r="L162" s="354">
        <f t="shared" si="6"/>
        <v>1</v>
      </c>
    </row>
    <row r="163" spans="2:12" ht="18" customHeight="1">
      <c r="B163" s="419"/>
      <c r="C163" s="329"/>
      <c r="D163" s="329"/>
      <c r="E163" s="417" t="s">
        <v>427</v>
      </c>
      <c r="F163" s="352"/>
      <c r="G163" s="352"/>
      <c r="H163" s="352"/>
      <c r="I163" s="412"/>
      <c r="J163" s="329"/>
      <c r="K163" s="352">
        <v>1</v>
      </c>
      <c r="L163" s="354">
        <f t="shared" si="6"/>
        <v>1</v>
      </c>
    </row>
    <row r="164" spans="2:12" ht="18" customHeight="1">
      <c r="B164" s="419"/>
      <c r="C164" s="329"/>
      <c r="D164" s="329"/>
      <c r="E164" s="417" t="s">
        <v>427</v>
      </c>
      <c r="F164" s="352"/>
      <c r="G164" s="352"/>
      <c r="H164" s="352"/>
      <c r="I164" s="412"/>
      <c r="J164" s="329"/>
      <c r="K164" s="352">
        <v>1</v>
      </c>
      <c r="L164" s="354">
        <f t="shared" si="6"/>
        <v>1</v>
      </c>
    </row>
    <row r="165" spans="2:12" ht="18" customHeight="1">
      <c r="B165" s="419"/>
      <c r="C165" s="329"/>
      <c r="D165" s="329"/>
      <c r="E165" s="417" t="s">
        <v>427</v>
      </c>
      <c r="F165" s="352"/>
      <c r="G165" s="352"/>
      <c r="H165" s="352"/>
      <c r="I165" s="412"/>
      <c r="J165" s="329"/>
      <c r="K165" s="352">
        <v>1</v>
      </c>
      <c r="L165" s="354">
        <f t="shared" si="6"/>
        <v>1</v>
      </c>
    </row>
    <row r="166" spans="2:12" ht="18" customHeight="1">
      <c r="B166" s="419"/>
      <c r="E166" s="417" t="s">
        <v>427</v>
      </c>
      <c r="F166" s="329"/>
      <c r="G166" s="329"/>
      <c r="H166" s="329"/>
      <c r="I166" s="329"/>
      <c r="J166" s="329"/>
      <c r="K166" s="352">
        <v>1</v>
      </c>
      <c r="L166" s="354">
        <f t="shared" si="6"/>
        <v>1</v>
      </c>
    </row>
    <row r="167" spans="2:12" ht="18" customHeight="1">
      <c r="B167" s="420"/>
      <c r="C167" s="423"/>
      <c r="D167" s="443"/>
      <c r="E167" s="421"/>
      <c r="F167" s="421"/>
      <c r="G167" s="421"/>
      <c r="H167" s="421"/>
      <c r="I167" s="421"/>
      <c r="J167" s="421"/>
      <c r="K167" s="361"/>
      <c r="L167" s="358">
        <f>SUM(L161:L166)</f>
        <v>7</v>
      </c>
    </row>
    <row r="168" spans="2:12" ht="18" customHeight="1">
      <c r="B168" s="442"/>
      <c r="C168" s="344" t="s">
        <v>509</v>
      </c>
      <c r="D168" s="444" t="s">
        <v>373</v>
      </c>
      <c r="E168" s="418"/>
      <c r="F168" s="418"/>
      <c r="G168" s="418"/>
      <c r="H168" s="418"/>
      <c r="I168" s="418"/>
      <c r="J168" s="418"/>
      <c r="K168" s="418"/>
      <c r="L168" s="445"/>
    </row>
    <row r="169" spans="2:12" ht="18" customHeight="1">
      <c r="B169" s="419"/>
      <c r="C169" s="315"/>
      <c r="D169" s="315"/>
      <c r="E169" s="417" t="s">
        <v>424</v>
      </c>
      <c r="F169" s="352"/>
      <c r="G169" s="352"/>
      <c r="H169" s="352"/>
      <c r="I169" s="412"/>
      <c r="J169" s="329"/>
      <c r="K169" s="352">
        <f>2*5</f>
        <v>10</v>
      </c>
      <c r="L169" s="354">
        <f aca="true" t="shared" si="7" ref="L169:L174">K169</f>
        <v>10</v>
      </c>
    </row>
    <row r="170" spans="2:12" ht="18" customHeight="1">
      <c r="B170" s="419"/>
      <c r="C170" s="315"/>
      <c r="D170" s="315"/>
      <c r="E170" s="417" t="s">
        <v>426</v>
      </c>
      <c r="F170" s="352"/>
      <c r="G170" s="352"/>
      <c r="H170" s="352"/>
      <c r="I170" s="412"/>
      <c r="J170" s="329"/>
      <c r="K170" s="352">
        <f>1*5</f>
        <v>5</v>
      </c>
      <c r="L170" s="354">
        <f t="shared" si="7"/>
        <v>5</v>
      </c>
    </row>
    <row r="171" spans="2:12" ht="18" customHeight="1">
      <c r="B171" s="419"/>
      <c r="C171" s="315"/>
      <c r="D171" s="315"/>
      <c r="E171" s="417" t="s">
        <v>427</v>
      </c>
      <c r="F171" s="352"/>
      <c r="G171" s="352"/>
      <c r="H171" s="352"/>
      <c r="I171" s="412"/>
      <c r="J171" s="329"/>
      <c r="K171" s="352">
        <f>1*5</f>
        <v>5</v>
      </c>
      <c r="L171" s="354">
        <f t="shared" si="7"/>
        <v>5</v>
      </c>
    </row>
    <row r="172" spans="2:12" ht="18" customHeight="1">
      <c r="B172" s="419"/>
      <c r="C172" s="315"/>
      <c r="D172" s="315"/>
      <c r="E172" s="417" t="s">
        <v>427</v>
      </c>
      <c r="F172" s="352"/>
      <c r="G172" s="352"/>
      <c r="H172" s="352"/>
      <c r="I172" s="412"/>
      <c r="J172" s="329"/>
      <c r="K172" s="352">
        <f>1*5</f>
        <v>5</v>
      </c>
      <c r="L172" s="354">
        <f t="shared" si="7"/>
        <v>5</v>
      </c>
    </row>
    <row r="173" spans="2:12" ht="18" customHeight="1">
      <c r="B173" s="419"/>
      <c r="C173" s="315"/>
      <c r="D173" s="315"/>
      <c r="E173" s="417" t="s">
        <v>427</v>
      </c>
      <c r="F173" s="352"/>
      <c r="G173" s="352"/>
      <c r="H173" s="352"/>
      <c r="I173" s="412"/>
      <c r="J173" s="329"/>
      <c r="K173" s="352">
        <f>1*5</f>
        <v>5</v>
      </c>
      <c r="L173" s="354">
        <f t="shared" si="7"/>
        <v>5</v>
      </c>
    </row>
    <row r="174" spans="2:12" ht="18" customHeight="1">
      <c r="B174" s="419"/>
      <c r="E174" s="417" t="s">
        <v>427</v>
      </c>
      <c r="F174" s="329"/>
      <c r="G174" s="329"/>
      <c r="H174" s="329"/>
      <c r="I174" s="329"/>
      <c r="J174" s="329"/>
      <c r="K174" s="352">
        <f>1*5</f>
        <v>5</v>
      </c>
      <c r="L174" s="354">
        <f t="shared" si="7"/>
        <v>5</v>
      </c>
    </row>
    <row r="175" spans="2:12" ht="18" customHeight="1">
      <c r="B175" s="420"/>
      <c r="C175" s="443"/>
      <c r="D175" s="443"/>
      <c r="E175" s="421"/>
      <c r="F175" s="421"/>
      <c r="G175" s="421"/>
      <c r="H175" s="421"/>
      <c r="I175" s="421"/>
      <c r="J175" s="421"/>
      <c r="K175" s="361"/>
      <c r="L175" s="358">
        <f>SUM(L169:L174)</f>
        <v>35</v>
      </c>
    </row>
    <row r="176" ht="18" customHeight="1"/>
    <row r="177" ht="18" customHeight="1"/>
    <row r="178" ht="18" customHeight="1"/>
    <row r="179" ht="18" customHeight="1"/>
    <row r="180" spans="3:4" ht="18" customHeight="1">
      <c r="C180" s="629" t="s">
        <v>511</v>
      </c>
      <c r="D180" s="629"/>
    </row>
    <row r="181" ht="18" customHeight="1"/>
  </sheetData>
  <sheetProtection/>
  <mergeCells count="12">
    <mergeCell ref="Q7:T15"/>
    <mergeCell ref="B9:E9"/>
    <mergeCell ref="F9:L9"/>
    <mergeCell ref="B10:E10"/>
    <mergeCell ref="F10:L10"/>
    <mergeCell ref="B12:L12"/>
    <mergeCell ref="C180:D180"/>
    <mergeCell ref="B2:C7"/>
    <mergeCell ref="D2:E7"/>
    <mergeCell ref="F2:L3"/>
    <mergeCell ref="F4:L5"/>
    <mergeCell ref="F6:L7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K77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48.8515625" style="0" bestFit="1" customWidth="1"/>
    <col min="2" max="2" width="22.7109375" style="0" bestFit="1" customWidth="1"/>
  </cols>
  <sheetData>
    <row r="6" ht="15">
      <c r="A6" s="437" t="s">
        <v>441</v>
      </c>
    </row>
    <row r="7" spans="1:4" ht="15">
      <c r="A7" t="s">
        <v>437</v>
      </c>
      <c r="B7" t="s">
        <v>438</v>
      </c>
      <c r="C7" t="s">
        <v>0</v>
      </c>
      <c r="D7">
        <f>1.95+1.95</f>
        <v>3.9</v>
      </c>
    </row>
    <row r="8" spans="1:4" ht="15">
      <c r="A8" t="s">
        <v>439</v>
      </c>
      <c r="B8" t="s">
        <v>438</v>
      </c>
      <c r="C8" t="s">
        <v>0</v>
      </c>
      <c r="D8">
        <f>1.95+1.95</f>
        <v>3.9</v>
      </c>
    </row>
    <row r="9" spans="1:4" ht="15">
      <c r="A9" t="s">
        <v>440</v>
      </c>
      <c r="B9" t="s">
        <v>422</v>
      </c>
      <c r="C9" t="s">
        <v>0</v>
      </c>
      <c r="D9">
        <v>8.81</v>
      </c>
    </row>
    <row r="10" spans="2:4" ht="15">
      <c r="B10" t="s">
        <v>423</v>
      </c>
      <c r="C10" t="s">
        <v>0</v>
      </c>
      <c r="D10">
        <v>8.09</v>
      </c>
    </row>
    <row r="11" spans="2:4" ht="15">
      <c r="B11" t="s">
        <v>424</v>
      </c>
      <c r="C11" t="s">
        <v>0</v>
      </c>
      <c r="D11">
        <v>16.6</v>
      </c>
    </row>
    <row r="12" spans="2:4" ht="15">
      <c r="B12" t="s">
        <v>425</v>
      </c>
      <c r="C12" t="s">
        <v>0</v>
      </c>
      <c r="D12">
        <v>8.09</v>
      </c>
    </row>
    <row r="13" spans="2:4" ht="15">
      <c r="B13" t="s">
        <v>426</v>
      </c>
      <c r="C13" t="s">
        <v>0</v>
      </c>
      <c r="D13">
        <v>7.89</v>
      </c>
    </row>
    <row r="14" spans="2:4" ht="15">
      <c r="B14" t="s">
        <v>427</v>
      </c>
      <c r="C14" t="s">
        <v>0</v>
      </c>
      <c r="D14">
        <v>16.6</v>
      </c>
    </row>
    <row r="15" spans="2:4" ht="15">
      <c r="B15" t="s">
        <v>409</v>
      </c>
      <c r="C15" t="s">
        <v>0</v>
      </c>
      <c r="D15">
        <v>59.4</v>
      </c>
    </row>
    <row r="16" spans="2:4" ht="15">
      <c r="B16" t="s">
        <v>428</v>
      </c>
      <c r="C16" t="s">
        <v>0</v>
      </c>
      <c r="D16">
        <f>3.04+1.9</f>
        <v>4.9399999999999995</v>
      </c>
    </row>
    <row r="17" spans="2:4" ht="15">
      <c r="B17" t="s">
        <v>429</v>
      </c>
      <c r="C17" t="s">
        <v>0</v>
      </c>
      <c r="D17">
        <v>19.4</v>
      </c>
    </row>
    <row r="18" spans="2:4" ht="15">
      <c r="B18" t="s">
        <v>429</v>
      </c>
      <c r="C18" t="s">
        <v>0</v>
      </c>
      <c r="D18">
        <v>19.4</v>
      </c>
    </row>
    <row r="19" ht="15">
      <c r="A19" s="437" t="s">
        <v>442</v>
      </c>
    </row>
    <row r="20" spans="1:4" ht="15">
      <c r="A20" t="s">
        <v>443</v>
      </c>
      <c r="C20" t="s">
        <v>0</v>
      </c>
      <c r="D20">
        <v>154.05</v>
      </c>
    </row>
    <row r="21" spans="1:4" ht="15">
      <c r="A21" t="s">
        <v>444</v>
      </c>
      <c r="C21" t="s">
        <v>0</v>
      </c>
      <c r="D21">
        <v>154.05</v>
      </c>
    </row>
    <row r="22" spans="1:11" ht="30">
      <c r="A22" s="424" t="s">
        <v>445</v>
      </c>
      <c r="C22" t="s">
        <v>0</v>
      </c>
      <c r="D22">
        <v>73.8</v>
      </c>
      <c r="G22">
        <v>1.9</v>
      </c>
      <c r="H22">
        <v>1</v>
      </c>
      <c r="I22">
        <f>(2*G22)+(2*H22)</f>
        <v>5.8</v>
      </c>
      <c r="J22">
        <v>3</v>
      </c>
      <c r="K22">
        <f>I22*J22</f>
        <v>17.4</v>
      </c>
    </row>
    <row r="23" spans="1:11" ht="15">
      <c r="A23" s="437" t="s">
        <v>446</v>
      </c>
      <c r="G23">
        <v>1.95</v>
      </c>
      <c r="H23">
        <v>1</v>
      </c>
      <c r="I23">
        <f>(2*G23)+(2*H23)</f>
        <v>5.9</v>
      </c>
      <c r="J23">
        <v>3</v>
      </c>
      <c r="K23">
        <f>I23*J23</f>
        <v>17.700000000000003</v>
      </c>
    </row>
    <row r="24" spans="1:11" ht="15">
      <c r="A24" t="s">
        <v>447</v>
      </c>
      <c r="C24" t="s">
        <v>0</v>
      </c>
      <c r="D24">
        <f>169.22+3.9</f>
        <v>173.12</v>
      </c>
      <c r="G24">
        <v>1.9</v>
      </c>
      <c r="H24">
        <v>1.6</v>
      </c>
      <c r="I24">
        <f>(2*G24)+(2*H24)</f>
        <v>7</v>
      </c>
      <c r="J24">
        <v>3</v>
      </c>
      <c r="K24">
        <f>I24*J24</f>
        <v>21</v>
      </c>
    </row>
    <row r="25" spans="1:11" ht="15">
      <c r="A25" t="s">
        <v>448</v>
      </c>
      <c r="C25" t="s">
        <v>0</v>
      </c>
      <c r="D25">
        <f>169.22+3.9</f>
        <v>173.12</v>
      </c>
      <c r="G25">
        <v>1.95</v>
      </c>
      <c r="H25">
        <v>1</v>
      </c>
      <c r="I25">
        <f>(2*G25)+(2*H25)</f>
        <v>5.9</v>
      </c>
      <c r="J25">
        <v>3</v>
      </c>
      <c r="K25">
        <f>I25*J25</f>
        <v>17.700000000000003</v>
      </c>
    </row>
    <row r="26" spans="1:11" ht="15">
      <c r="A26" s="437" t="s">
        <v>449</v>
      </c>
      <c r="K26">
        <f>SUM(K22:K25)</f>
        <v>73.80000000000001</v>
      </c>
    </row>
    <row r="27" spans="1:4" ht="15">
      <c r="A27" t="s">
        <v>450</v>
      </c>
      <c r="C27" t="s">
        <v>373</v>
      </c>
      <c r="D27">
        <v>2</v>
      </c>
    </row>
    <row r="28" spans="1:4" ht="15">
      <c r="A28" t="s">
        <v>451</v>
      </c>
      <c r="C28" t="s">
        <v>373</v>
      </c>
      <c r="D28">
        <v>2</v>
      </c>
    </row>
    <row r="29" spans="1:4" ht="15">
      <c r="A29" t="s">
        <v>419</v>
      </c>
      <c r="C29" t="s">
        <v>373</v>
      </c>
      <c r="D29">
        <v>1</v>
      </c>
    </row>
    <row r="30" spans="1:4" ht="15">
      <c r="A30" t="s">
        <v>453</v>
      </c>
      <c r="C30" t="s">
        <v>373</v>
      </c>
      <c r="D30">
        <v>1</v>
      </c>
    </row>
    <row r="31" spans="1:4" ht="15">
      <c r="A31" t="s">
        <v>467</v>
      </c>
      <c r="C31" t="s">
        <v>373</v>
      </c>
      <c r="D31">
        <v>5</v>
      </c>
    </row>
    <row r="32" spans="1:4" ht="15">
      <c r="A32" t="s">
        <v>468</v>
      </c>
      <c r="C32" t="s">
        <v>373</v>
      </c>
      <c r="D32">
        <v>1</v>
      </c>
    </row>
    <row r="33" spans="1:4" ht="15">
      <c r="A33" t="s">
        <v>469</v>
      </c>
      <c r="C33" t="s">
        <v>373</v>
      </c>
      <c r="D33">
        <v>3</v>
      </c>
    </row>
    <row r="34" ht="15">
      <c r="A34" s="437" t="s">
        <v>458</v>
      </c>
    </row>
    <row r="35" spans="1:4" ht="15">
      <c r="A35" t="s">
        <v>459</v>
      </c>
      <c r="C35" t="s">
        <v>373</v>
      </c>
      <c r="D35">
        <v>17</v>
      </c>
    </row>
    <row r="36" spans="1:4" ht="15">
      <c r="A36" t="s">
        <v>460</v>
      </c>
      <c r="C36" t="s">
        <v>373</v>
      </c>
      <c r="D36">
        <v>25</v>
      </c>
    </row>
    <row r="37" spans="1:4" ht="15">
      <c r="A37" t="s">
        <v>461</v>
      </c>
      <c r="C37" t="s">
        <v>452</v>
      </c>
      <c r="D37">
        <v>25</v>
      </c>
    </row>
    <row r="38" ht="15">
      <c r="A38" s="437" t="s">
        <v>462</v>
      </c>
    </row>
    <row r="39" spans="1:3" ht="15">
      <c r="A39" s="427" t="s">
        <v>463</v>
      </c>
      <c r="C39" t="s">
        <v>0</v>
      </c>
    </row>
    <row r="40" spans="1:4" ht="15">
      <c r="A40" s="426" t="s">
        <v>422</v>
      </c>
      <c r="D40" s="426">
        <v>31.949999999999996</v>
      </c>
    </row>
    <row r="41" spans="1:4" ht="15">
      <c r="A41" s="426" t="s">
        <v>423</v>
      </c>
      <c r="D41" s="426">
        <v>36.6</v>
      </c>
    </row>
    <row r="42" spans="1:4" ht="15">
      <c r="A42" s="426" t="s">
        <v>424</v>
      </c>
      <c r="D42" s="426">
        <v>48.900000000000006</v>
      </c>
    </row>
    <row r="43" spans="1:4" ht="15">
      <c r="A43" s="426" t="s">
        <v>425</v>
      </c>
      <c r="D43" s="426">
        <v>36.6</v>
      </c>
    </row>
    <row r="44" spans="1:4" ht="15">
      <c r="A44" s="426" t="s">
        <v>426</v>
      </c>
      <c r="D44" s="426">
        <v>36.300000000000004</v>
      </c>
    </row>
    <row r="45" spans="1:4" ht="15">
      <c r="A45" s="426" t="s">
        <v>427</v>
      </c>
      <c r="D45" s="426">
        <v>48.900000000000006</v>
      </c>
    </row>
    <row r="46" spans="1:4" ht="15">
      <c r="A46" s="426" t="s">
        <v>409</v>
      </c>
      <c r="D46" s="426">
        <v>112.20000000000002</v>
      </c>
    </row>
    <row r="47" spans="1:4" ht="15">
      <c r="A47" s="426" t="s">
        <v>428</v>
      </c>
      <c r="D47" s="426">
        <v>38.400000000000006</v>
      </c>
    </row>
    <row r="48" spans="1:4" ht="15">
      <c r="A48" s="426" t="s">
        <v>429</v>
      </c>
      <c r="D48" s="426">
        <v>53.099999999999994</v>
      </c>
    </row>
    <row r="49" spans="1:4" ht="15">
      <c r="A49" s="426" t="s">
        <v>429</v>
      </c>
      <c r="D49" s="426">
        <v>53.099999999999994</v>
      </c>
    </row>
    <row r="50" spans="1:4" ht="15">
      <c r="A50" s="426" t="s">
        <v>464</v>
      </c>
      <c r="D50">
        <f>(2.05+3.55+2.75+6.45+0.7+2.9)*3</f>
        <v>55.199999999999996</v>
      </c>
    </row>
    <row r="51" spans="1:4" ht="15">
      <c r="A51" s="426" t="s">
        <v>409</v>
      </c>
      <c r="D51">
        <f>(2.3+3.5+2+5.3+1.6)*3</f>
        <v>44.099999999999994</v>
      </c>
    </row>
    <row r="52" spans="1:4" ht="15">
      <c r="A52" s="426" t="s">
        <v>465</v>
      </c>
      <c r="D52">
        <f>(6.55+6.55+5.3+5.3)*3</f>
        <v>71.1</v>
      </c>
    </row>
    <row r="53" ht="15">
      <c r="D53" s="428">
        <f>SUM(D40:D52)</f>
        <v>666.4500000000002</v>
      </c>
    </row>
    <row r="54" spans="1:4" ht="15">
      <c r="A54" s="428" t="s">
        <v>466</v>
      </c>
      <c r="D54" s="428">
        <f>D53</f>
        <v>666.4500000000002</v>
      </c>
    </row>
    <row r="55" ht="15">
      <c r="A55" s="438" t="s">
        <v>22</v>
      </c>
    </row>
    <row r="56" spans="1:4" ht="15">
      <c r="A56" t="s">
        <v>470</v>
      </c>
      <c r="C56" t="s">
        <v>373</v>
      </c>
      <c r="D56">
        <v>9</v>
      </c>
    </row>
    <row r="57" spans="1:4" ht="15">
      <c r="A57" t="s">
        <v>471</v>
      </c>
      <c r="C57" t="s">
        <v>373</v>
      </c>
      <c r="D57">
        <v>2</v>
      </c>
    </row>
    <row r="58" spans="1:4" ht="15">
      <c r="A58" t="s">
        <v>472</v>
      </c>
      <c r="C58" t="s">
        <v>373</v>
      </c>
      <c r="D58">
        <v>3</v>
      </c>
    </row>
    <row r="59" ht="15">
      <c r="A59" s="437" t="s">
        <v>473</v>
      </c>
    </row>
    <row r="60" ht="15">
      <c r="A60" s="427" t="s">
        <v>474</v>
      </c>
    </row>
    <row r="61" spans="1:4" ht="15">
      <c r="A61" t="s">
        <v>470</v>
      </c>
      <c r="C61" t="s">
        <v>0</v>
      </c>
      <c r="D61">
        <f>(0.8*2.1)*9*2.5</f>
        <v>37.800000000000004</v>
      </c>
    </row>
    <row r="62" spans="1:4" ht="15">
      <c r="A62" t="s">
        <v>471</v>
      </c>
      <c r="C62" t="s">
        <v>0</v>
      </c>
      <c r="D62">
        <f>(1.4*2.1)*2*2.5</f>
        <v>14.7</v>
      </c>
    </row>
    <row r="63" ht="15">
      <c r="A63" s="427" t="s">
        <v>475</v>
      </c>
    </row>
    <row r="64" spans="1:4" ht="15">
      <c r="A64" t="s">
        <v>470</v>
      </c>
      <c r="C64" t="s">
        <v>0</v>
      </c>
      <c r="D64">
        <f>(0.8*2.1)*9*2.5</f>
        <v>37.800000000000004</v>
      </c>
    </row>
    <row r="65" spans="1:4" ht="15">
      <c r="A65" t="s">
        <v>471</v>
      </c>
      <c r="C65" t="s">
        <v>0</v>
      </c>
      <c r="D65">
        <f>(1.4*2.1)*2*2.5</f>
        <v>14.7</v>
      </c>
    </row>
    <row r="66" ht="15">
      <c r="A66" s="437" t="s">
        <v>476</v>
      </c>
    </row>
    <row r="67" spans="1:4" ht="15">
      <c r="A67" t="s">
        <v>409</v>
      </c>
      <c r="C67" t="s">
        <v>53</v>
      </c>
      <c r="D67">
        <f>16.6+14+10.3+3.8+3.5+3.6</f>
        <v>51.800000000000004</v>
      </c>
    </row>
    <row r="68" ht="15">
      <c r="A68" s="437" t="s">
        <v>477</v>
      </c>
    </row>
    <row r="69" spans="1:4" ht="15">
      <c r="A69" t="s">
        <v>479</v>
      </c>
      <c r="C69" t="s">
        <v>478</v>
      </c>
      <c r="D69">
        <f>2.25*0.6</f>
        <v>1.3499999999999999</v>
      </c>
    </row>
    <row r="71" spans="1:4" ht="15">
      <c r="A71" t="s">
        <v>480</v>
      </c>
      <c r="C71" t="s">
        <v>34</v>
      </c>
      <c r="D71">
        <v>4</v>
      </c>
    </row>
    <row r="72" spans="1:4" ht="15">
      <c r="A72" t="s">
        <v>481</v>
      </c>
      <c r="C72" t="s">
        <v>0</v>
      </c>
      <c r="D72">
        <f>253.87*1.1</f>
        <v>279.257</v>
      </c>
    </row>
    <row r="74" spans="1:4" ht="15">
      <c r="A74" t="s">
        <v>482</v>
      </c>
      <c r="C74" t="s">
        <v>373</v>
      </c>
      <c r="D74">
        <f>7*5</f>
        <v>35</v>
      </c>
    </row>
    <row r="75" spans="1:4" ht="15">
      <c r="A75" t="s">
        <v>483</v>
      </c>
      <c r="C75" t="s">
        <v>373</v>
      </c>
      <c r="D75">
        <v>7</v>
      </c>
    </row>
    <row r="76" spans="1:4" ht="15">
      <c r="A76" t="s">
        <v>484</v>
      </c>
      <c r="C76" t="s">
        <v>373</v>
      </c>
      <c r="D76">
        <v>1</v>
      </c>
    </row>
    <row r="77" spans="1:4" ht="15">
      <c r="A77" t="s">
        <v>485</v>
      </c>
      <c r="C77" t="s">
        <v>373</v>
      </c>
      <c r="D77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5"/>
  <sheetViews>
    <sheetView zoomScalePageLayoutView="0" workbookViewId="0" topLeftCell="A1">
      <selection activeCell="C9" sqref="C9:G9"/>
    </sheetView>
  </sheetViews>
  <sheetFormatPr defaultColWidth="9.140625" defaultRowHeight="15"/>
  <cols>
    <col min="1" max="1" width="2.57421875" style="138" customWidth="1"/>
    <col min="2" max="2" width="8.28125" style="139" customWidth="1"/>
    <col min="3" max="3" width="58.140625" style="139" customWidth="1"/>
    <col min="4" max="4" width="19.7109375" style="282" customWidth="1"/>
    <col min="5" max="5" width="15.7109375" style="282" customWidth="1"/>
    <col min="6" max="6" width="15.421875" style="139" customWidth="1"/>
    <col min="7" max="7" width="19.140625" style="139" customWidth="1"/>
    <col min="8" max="8" width="10.421875" style="138" customWidth="1"/>
    <col min="9" max="9" width="11.00390625" style="282" customWidth="1"/>
    <col min="10" max="16384" width="9.140625" style="139" customWidth="1"/>
  </cols>
  <sheetData>
    <row r="1" ht="15">
      <c r="H1" s="139"/>
    </row>
    <row r="2" spans="2:11" ht="30" customHeight="1">
      <c r="B2" s="532"/>
      <c r="C2" s="532"/>
      <c r="D2" s="534" t="s">
        <v>133</v>
      </c>
      <c r="E2" s="534"/>
      <c r="F2" s="534"/>
      <c r="G2" s="534"/>
      <c r="H2" s="139"/>
      <c r="I2" s="282" t="s">
        <v>349</v>
      </c>
      <c r="K2" t="s">
        <v>350</v>
      </c>
    </row>
    <row r="3" spans="2:11" ht="30" customHeight="1">
      <c r="B3" s="532"/>
      <c r="C3" s="532"/>
      <c r="D3" s="534" t="s">
        <v>134</v>
      </c>
      <c r="E3" s="534"/>
      <c r="F3" s="534"/>
      <c r="G3" s="534"/>
      <c r="H3" s="139"/>
      <c r="I3" s="282">
        <v>8.85</v>
      </c>
      <c r="J3" s="139">
        <v>3</v>
      </c>
      <c r="K3" s="283">
        <f aca="true" t="shared" si="0" ref="K3:K8">J3*I3</f>
        <v>26.549999999999997</v>
      </c>
    </row>
    <row r="4" spans="2:11" ht="30" customHeight="1" thickBot="1">
      <c r="B4" s="533"/>
      <c r="C4" s="533"/>
      <c r="D4" s="535" t="s">
        <v>135</v>
      </c>
      <c r="E4" s="535"/>
      <c r="F4" s="535"/>
      <c r="G4" s="535"/>
      <c r="H4" s="139"/>
      <c r="I4" s="282">
        <v>1.6</v>
      </c>
      <c r="J4" s="139">
        <v>2.1</v>
      </c>
      <c r="K4" s="283">
        <f t="shared" si="0"/>
        <v>3.3600000000000003</v>
      </c>
    </row>
    <row r="5" spans="2:11" ht="15.75" thickBot="1">
      <c r="B5" s="536" t="s">
        <v>368</v>
      </c>
      <c r="C5" s="537"/>
      <c r="D5" s="537"/>
      <c r="E5" s="537"/>
      <c r="F5" s="537"/>
      <c r="G5" s="538"/>
      <c r="H5" s="139"/>
      <c r="I5" s="282">
        <v>1.65</v>
      </c>
      <c r="J5" s="139">
        <v>0.6</v>
      </c>
      <c r="K5" s="283">
        <f t="shared" si="0"/>
        <v>0.9899999999999999</v>
      </c>
    </row>
    <row r="6" spans="2:11" ht="15">
      <c r="B6" s="539" t="s">
        <v>365</v>
      </c>
      <c r="C6" s="539"/>
      <c r="D6" s="539"/>
      <c r="E6" s="539"/>
      <c r="F6" s="540" t="s">
        <v>366</v>
      </c>
      <c r="G6" s="540"/>
      <c r="H6" s="139"/>
      <c r="I6" s="282">
        <v>1.65</v>
      </c>
      <c r="J6" s="139">
        <v>0.6</v>
      </c>
      <c r="K6" s="283">
        <f t="shared" si="0"/>
        <v>0.9899999999999999</v>
      </c>
    </row>
    <row r="7" spans="2:11" ht="15">
      <c r="B7" s="550" t="str">
        <f>'[1]Orçamento Fisioterapia'!B10:C10</f>
        <v>Endereço: Zona urbana</v>
      </c>
      <c r="C7" s="550"/>
      <c r="D7" s="550"/>
      <c r="E7" s="550"/>
      <c r="F7" s="551" t="s">
        <v>136</v>
      </c>
      <c r="G7" s="551"/>
      <c r="H7" s="139"/>
      <c r="I7" s="282">
        <v>1</v>
      </c>
      <c r="J7" s="139">
        <v>0.6</v>
      </c>
      <c r="K7" s="283">
        <f t="shared" si="0"/>
        <v>0.6</v>
      </c>
    </row>
    <row r="8" spans="2:11" ht="15">
      <c r="B8" s="552" t="s">
        <v>137</v>
      </c>
      <c r="C8" s="553"/>
      <c r="D8" s="553"/>
      <c r="E8" s="554"/>
      <c r="F8" s="551" t="s">
        <v>138</v>
      </c>
      <c r="G8" s="551"/>
      <c r="H8" s="139"/>
      <c r="I8" s="282">
        <v>0.8</v>
      </c>
      <c r="J8" s="139">
        <v>2.1</v>
      </c>
      <c r="K8" s="283">
        <f t="shared" si="0"/>
        <v>1.6800000000000002</v>
      </c>
    </row>
    <row r="9" spans="2:11" ht="15">
      <c r="B9" s="142" t="s">
        <v>5</v>
      </c>
      <c r="C9" s="555" t="s">
        <v>111</v>
      </c>
      <c r="D9" s="556"/>
      <c r="E9" s="556"/>
      <c r="F9" s="556"/>
      <c r="G9" s="557"/>
      <c r="H9" s="139"/>
      <c r="K9" s="284">
        <f>SUM(K3:K8)</f>
        <v>34.169999999999995</v>
      </c>
    </row>
    <row r="10" spans="2:8" ht="15">
      <c r="B10" s="143" t="s">
        <v>6</v>
      </c>
      <c r="C10" s="144" t="s">
        <v>272</v>
      </c>
      <c r="D10" s="145"/>
      <c r="E10" s="145"/>
      <c r="F10" s="146"/>
      <c r="G10" s="147"/>
      <c r="H10" s="196"/>
    </row>
    <row r="11" spans="2:11" ht="30.75" customHeight="1">
      <c r="B11" s="143" t="s">
        <v>101</v>
      </c>
      <c r="C11" s="148" t="s">
        <v>139</v>
      </c>
      <c r="D11" s="149"/>
      <c r="E11" s="149"/>
      <c r="F11" s="150"/>
      <c r="G11" s="151"/>
      <c r="H11" s="139">
        <v>3</v>
      </c>
      <c r="I11" s="282">
        <v>1</v>
      </c>
      <c r="J11" s="139">
        <v>0.8</v>
      </c>
      <c r="K11" s="283">
        <f>J11*I11*H11</f>
        <v>2.4000000000000004</v>
      </c>
    </row>
    <row r="12" spans="2:8" ht="15">
      <c r="B12" s="143" t="s">
        <v>102</v>
      </c>
      <c r="C12" s="148" t="s">
        <v>140</v>
      </c>
      <c r="D12" s="149"/>
      <c r="E12" s="149"/>
      <c r="F12" s="150"/>
      <c r="G12" s="151"/>
      <c r="H12" s="139"/>
    </row>
    <row r="13" spans="2:11" ht="15">
      <c r="B13" s="143" t="s">
        <v>103</v>
      </c>
      <c r="C13" s="148" t="s">
        <v>271</v>
      </c>
      <c r="D13" s="149">
        <f>9.35*3.95</f>
        <v>36.9325</v>
      </c>
      <c r="E13" s="149"/>
      <c r="F13" s="150"/>
      <c r="G13" s="151"/>
      <c r="H13" s="139"/>
      <c r="I13" s="282">
        <v>0.8</v>
      </c>
      <c r="J13" s="139">
        <v>2.1</v>
      </c>
      <c r="K13" s="283">
        <f>J13*I13</f>
        <v>1.6800000000000002</v>
      </c>
    </row>
    <row r="14" spans="2:11" ht="15">
      <c r="B14" s="142" t="s">
        <v>7</v>
      </c>
      <c r="C14" s="529" t="s">
        <v>35</v>
      </c>
      <c r="D14" s="530"/>
      <c r="E14" s="530"/>
      <c r="F14" s="530"/>
      <c r="G14" s="531"/>
      <c r="H14" s="139"/>
      <c r="K14" s="206">
        <f>SUM(K13)</f>
        <v>1.6800000000000002</v>
      </c>
    </row>
    <row r="15" spans="2:8" ht="15">
      <c r="B15" s="143" t="s">
        <v>8</v>
      </c>
      <c r="C15" s="153" t="s">
        <v>141</v>
      </c>
      <c r="D15" s="154" t="s">
        <v>142</v>
      </c>
      <c r="E15" s="154" t="s">
        <v>142</v>
      </c>
      <c r="F15" s="154" t="s">
        <v>143</v>
      </c>
      <c r="G15" s="154"/>
      <c r="H15" s="139"/>
    </row>
    <row r="16" spans="2:8" ht="15">
      <c r="B16" s="143"/>
      <c r="C16" s="148" t="s">
        <v>144</v>
      </c>
      <c r="D16" s="154">
        <v>3.95</v>
      </c>
      <c r="E16" s="154"/>
      <c r="F16" s="154"/>
      <c r="G16" s="154"/>
      <c r="H16" s="139"/>
    </row>
    <row r="17" spans="2:11" ht="15">
      <c r="B17" s="143"/>
      <c r="C17" s="148"/>
      <c r="D17" s="154">
        <v>2.6</v>
      </c>
      <c r="E17" s="154"/>
      <c r="F17" s="154"/>
      <c r="G17" s="154"/>
      <c r="H17" s="139"/>
      <c r="I17" s="282" t="s">
        <v>31</v>
      </c>
      <c r="K17" s="206">
        <f>K14+K9</f>
        <v>35.849999999999994</v>
      </c>
    </row>
    <row r="18" spans="2:8" ht="15">
      <c r="B18" s="143"/>
      <c r="C18" s="148"/>
      <c r="D18" s="154">
        <v>3.95</v>
      </c>
      <c r="E18" s="154"/>
      <c r="F18" s="154"/>
      <c r="G18" s="154"/>
      <c r="H18" s="139"/>
    </row>
    <row r="19" spans="2:11" ht="15">
      <c r="B19" s="143"/>
      <c r="C19" s="148"/>
      <c r="D19" s="154">
        <v>2.3</v>
      </c>
      <c r="E19" s="154"/>
      <c r="F19" s="154"/>
      <c r="G19" s="154"/>
      <c r="H19" s="139"/>
      <c r="K19" t="s">
        <v>351</v>
      </c>
    </row>
    <row r="20" spans="2:11" ht="15">
      <c r="B20" s="143"/>
      <c r="C20" s="148"/>
      <c r="D20" s="154">
        <v>1.5</v>
      </c>
      <c r="E20" s="154"/>
      <c r="F20" s="154"/>
      <c r="G20" s="154"/>
      <c r="H20" s="139"/>
      <c r="I20" s="282">
        <v>3</v>
      </c>
      <c r="J20" s="139">
        <v>30.3</v>
      </c>
      <c r="K20" s="206">
        <f>J20*I20</f>
        <v>90.9</v>
      </c>
    </row>
    <row r="21" spans="2:8" ht="15">
      <c r="B21" s="143"/>
      <c r="C21" s="148" t="s">
        <v>145</v>
      </c>
      <c r="E21" s="149"/>
      <c r="F21" s="149"/>
      <c r="G21" s="155"/>
      <c r="H21" s="139"/>
    </row>
    <row r="22" spans="2:8" ht="15">
      <c r="B22" s="143"/>
      <c r="C22" s="148"/>
      <c r="D22" s="154">
        <v>1.15</v>
      </c>
      <c r="E22" s="154"/>
      <c r="F22" s="154"/>
      <c r="G22" s="154"/>
      <c r="H22" s="139"/>
    </row>
    <row r="23" spans="2:9" ht="15">
      <c r="B23" s="143"/>
      <c r="C23" s="148"/>
      <c r="D23" s="154">
        <v>2.5</v>
      </c>
      <c r="E23" s="154"/>
      <c r="F23" s="154"/>
      <c r="G23" s="154"/>
      <c r="H23" s="139"/>
      <c r="I23" s="282" t="s">
        <v>352</v>
      </c>
    </row>
    <row r="24" spans="2:8" ht="15">
      <c r="B24" s="143"/>
      <c r="C24" s="148"/>
      <c r="D24" s="154">
        <v>9.05</v>
      </c>
      <c r="E24" s="154"/>
      <c r="F24" s="154"/>
      <c r="G24" s="154"/>
      <c r="H24" s="139"/>
    </row>
    <row r="25" spans="2:11" ht="15.75">
      <c r="B25" s="143"/>
      <c r="C25" s="148" t="s">
        <v>146</v>
      </c>
      <c r="D25" s="156">
        <f>SUM(D16:D24)</f>
        <v>27.000000000000004</v>
      </c>
      <c r="E25" s="154" t="s">
        <v>53</v>
      </c>
      <c r="F25" s="154"/>
      <c r="G25" s="154"/>
      <c r="H25" s="139"/>
      <c r="I25" s="282">
        <v>4.53</v>
      </c>
      <c r="J25" s="139">
        <v>3</v>
      </c>
      <c r="K25" s="206">
        <f>J25:J26*I25</f>
        <v>13.59</v>
      </c>
    </row>
    <row r="26" spans="2:11" ht="15">
      <c r="B26" s="143"/>
      <c r="C26" s="148"/>
      <c r="D26" s="154"/>
      <c r="E26" s="154"/>
      <c r="F26" s="154"/>
      <c r="G26" s="154"/>
      <c r="H26" s="139"/>
      <c r="K26" s="139">
        <v>2.15</v>
      </c>
    </row>
    <row r="27" spans="2:11" ht="15">
      <c r="B27" s="143"/>
      <c r="C27" s="157" t="s">
        <v>273</v>
      </c>
      <c r="D27" s="158">
        <f>D25*0.4*0.6</f>
        <v>6.480000000000001</v>
      </c>
      <c r="E27" s="149" t="s">
        <v>34</v>
      </c>
      <c r="F27" s="149"/>
      <c r="G27" s="155"/>
      <c r="H27" s="139"/>
      <c r="K27" s="139">
        <v>2.15</v>
      </c>
    </row>
    <row r="28" spans="2:11" ht="15">
      <c r="B28" s="143"/>
      <c r="C28" s="148" t="s">
        <v>274</v>
      </c>
      <c r="D28" s="154">
        <f>6*0.7*0.7*0.8</f>
        <v>2.352</v>
      </c>
      <c r="E28" s="149" t="s">
        <v>34</v>
      </c>
      <c r="F28" s="149"/>
      <c r="G28" s="155"/>
      <c r="H28" s="139"/>
      <c r="K28" s="139">
        <v>1.65</v>
      </c>
    </row>
    <row r="29" spans="2:11" ht="15.75" thickBot="1">
      <c r="B29" s="143"/>
      <c r="C29" s="159" t="s">
        <v>147</v>
      </c>
      <c r="D29" s="160">
        <f>SUM(D27:D28)</f>
        <v>8.832</v>
      </c>
      <c r="E29" s="149" t="s">
        <v>34</v>
      </c>
      <c r="F29" s="149"/>
      <c r="G29" s="155"/>
      <c r="H29" s="139"/>
      <c r="K29" s="139">
        <v>1.65</v>
      </c>
    </row>
    <row r="30" spans="4:11" ht="15">
      <c r="D30" s="161"/>
      <c r="E30" s="154"/>
      <c r="F30" s="154"/>
      <c r="G30" s="154"/>
      <c r="H30" s="139"/>
      <c r="K30" s="139">
        <v>1.65</v>
      </c>
    </row>
    <row r="31" spans="2:11" ht="15">
      <c r="B31" s="143" t="s">
        <v>37</v>
      </c>
      <c r="C31" s="148" t="s">
        <v>148</v>
      </c>
      <c r="E31" s="154"/>
      <c r="F31" s="154"/>
      <c r="G31" s="154"/>
      <c r="H31" s="139"/>
      <c r="K31" s="199">
        <f>SUM(K26:K30)</f>
        <v>9.25</v>
      </c>
    </row>
    <row r="32" spans="2:8" ht="15">
      <c r="B32" s="143"/>
      <c r="C32" s="148" t="s">
        <v>281</v>
      </c>
      <c r="D32" s="162">
        <f>D29-D28</f>
        <v>6.48</v>
      </c>
      <c r="E32" s="149" t="s">
        <v>34</v>
      </c>
      <c r="F32" s="154"/>
      <c r="G32" s="154"/>
      <c r="H32" s="139"/>
    </row>
    <row r="33" spans="2:8" ht="15.75" thickBot="1">
      <c r="B33" s="143"/>
      <c r="C33" s="148"/>
      <c r="D33" s="154"/>
      <c r="E33" s="154"/>
      <c r="F33" s="154"/>
      <c r="G33" s="154"/>
      <c r="H33" s="139"/>
    </row>
    <row r="34" spans="2:14" ht="15.75" thickBot="1">
      <c r="B34" s="143" t="s">
        <v>38</v>
      </c>
      <c r="C34" s="148" t="s">
        <v>149</v>
      </c>
      <c r="D34" s="154"/>
      <c r="E34" s="154"/>
      <c r="F34" s="154"/>
      <c r="G34" s="154"/>
      <c r="H34" s="139"/>
      <c r="I34" s="288" t="s">
        <v>352</v>
      </c>
      <c r="J34" s="289"/>
      <c r="K34" s="287">
        <f>K31+K25</f>
        <v>22.84</v>
      </c>
      <c r="L34" s="139">
        <v>0.4</v>
      </c>
      <c r="M34" s="139">
        <v>0.6</v>
      </c>
      <c r="N34" s="286">
        <f>M34*L34*K34</f>
        <v>5.481599999999999</v>
      </c>
    </row>
    <row r="35" spans="2:14" ht="15">
      <c r="B35" s="143"/>
      <c r="C35" s="148" t="s">
        <v>282</v>
      </c>
      <c r="D35" s="149"/>
      <c r="E35" s="149"/>
      <c r="F35" s="149"/>
      <c r="G35" s="155"/>
      <c r="H35" s="139"/>
      <c r="K35" s="139">
        <v>2</v>
      </c>
      <c r="L35" s="139">
        <v>0.4</v>
      </c>
      <c r="M35" s="139">
        <v>0.6</v>
      </c>
      <c r="N35" s="286">
        <f>M35*L35*K35</f>
        <v>0.48</v>
      </c>
    </row>
    <row r="36" spans="2:14" ht="15">
      <c r="B36" s="143"/>
      <c r="C36" s="148"/>
      <c r="D36" s="163">
        <f>D25*0.3*0.2</f>
        <v>1.6200000000000003</v>
      </c>
      <c r="E36" s="149" t="s">
        <v>34</v>
      </c>
      <c r="F36" s="149"/>
      <c r="G36" s="155"/>
      <c r="H36" s="139"/>
      <c r="N36" s="285">
        <f>SUM(N34:N35)</f>
        <v>5.961599999999999</v>
      </c>
    </row>
    <row r="37" spans="2:8" ht="15">
      <c r="B37" s="143"/>
      <c r="C37" s="148"/>
      <c r="D37" s="149"/>
      <c r="E37" s="149"/>
      <c r="F37" s="149"/>
      <c r="G37" s="155"/>
      <c r="H37" s="139"/>
    </row>
    <row r="38" spans="2:8" ht="18.75" customHeight="1">
      <c r="B38" s="141" t="s">
        <v>112</v>
      </c>
      <c r="C38" s="164" t="s">
        <v>283</v>
      </c>
      <c r="D38" s="165">
        <f>0.7*0.7*0.8*6</f>
        <v>2.352</v>
      </c>
      <c r="E38" s="149" t="s">
        <v>34</v>
      </c>
      <c r="F38" s="166"/>
      <c r="G38" s="167"/>
      <c r="H38" s="139"/>
    </row>
    <row r="39" spans="2:10" ht="18.75" customHeight="1">
      <c r="B39" s="141"/>
      <c r="C39" s="164"/>
      <c r="D39" s="168"/>
      <c r="E39" s="168"/>
      <c r="F39" s="166"/>
      <c r="G39" s="167"/>
      <c r="H39" s="139"/>
      <c r="J39" t="s">
        <v>353</v>
      </c>
    </row>
    <row r="40" spans="2:10" ht="15">
      <c r="B40" s="143" t="s">
        <v>113</v>
      </c>
      <c r="C40" s="148" t="s">
        <v>150</v>
      </c>
      <c r="D40" s="149"/>
      <c r="E40" s="149"/>
      <c r="F40" s="149"/>
      <c r="G40" s="155"/>
      <c r="H40" s="139"/>
      <c r="J40" s="139">
        <v>43.47</v>
      </c>
    </row>
    <row r="41" spans="2:10" ht="15">
      <c r="B41" s="143"/>
      <c r="C41" s="148" t="s">
        <v>155</v>
      </c>
      <c r="D41" s="154">
        <v>2.64</v>
      </c>
      <c r="E41" s="149"/>
      <c r="F41" s="149"/>
      <c r="G41" s="155"/>
      <c r="H41" s="139"/>
      <c r="J41" s="139">
        <v>6.77</v>
      </c>
    </row>
    <row r="42" spans="2:10" ht="15">
      <c r="B42" s="143"/>
      <c r="C42" s="148" t="s">
        <v>275</v>
      </c>
      <c r="D42" s="154">
        <v>23.12</v>
      </c>
      <c r="E42" s="149"/>
      <c r="F42" s="149"/>
      <c r="G42" s="155"/>
      <c r="H42" s="139"/>
      <c r="J42" s="139">
        <v>6.77</v>
      </c>
    </row>
    <row r="43" spans="2:10" ht="15">
      <c r="B43" s="143"/>
      <c r="C43" s="148" t="s">
        <v>276</v>
      </c>
      <c r="D43" s="154">
        <v>5.38</v>
      </c>
      <c r="E43" s="149"/>
      <c r="F43" s="149"/>
      <c r="G43" s="155"/>
      <c r="H43" s="139"/>
      <c r="J43" s="139">
        <v>3.34</v>
      </c>
    </row>
    <row r="44" spans="2:10" ht="15">
      <c r="B44" s="143"/>
      <c r="C44" s="148" t="s">
        <v>277</v>
      </c>
      <c r="D44" s="154">
        <v>1.99</v>
      </c>
      <c r="E44" s="149"/>
      <c r="F44" s="149"/>
      <c r="G44" s="155"/>
      <c r="H44" s="139"/>
      <c r="J44" s="139">
        <v>5.17</v>
      </c>
    </row>
    <row r="45" spans="2:10" ht="15">
      <c r="B45" s="143"/>
      <c r="C45" s="148"/>
      <c r="D45" s="162">
        <f>SUM(D41:D44)</f>
        <v>33.13</v>
      </c>
      <c r="E45" s="149" t="s">
        <v>0</v>
      </c>
      <c r="F45" s="149"/>
      <c r="G45" s="155"/>
      <c r="H45" s="139"/>
      <c r="J45" s="199">
        <f>SUM(J40:J44)</f>
        <v>65.52</v>
      </c>
    </row>
    <row r="46" spans="2:8" ht="15">
      <c r="B46" s="143"/>
      <c r="C46" s="148"/>
      <c r="D46" s="154"/>
      <c r="E46" s="149"/>
      <c r="F46" s="149"/>
      <c r="G46" s="155"/>
      <c r="H46" s="139"/>
    </row>
    <row r="47" spans="2:8" ht="15">
      <c r="B47" s="143" t="s">
        <v>114</v>
      </c>
      <c r="C47" s="148" t="s">
        <v>160</v>
      </c>
      <c r="D47" s="154"/>
      <c r="E47" s="149"/>
      <c r="F47" s="149"/>
      <c r="G47" s="155"/>
      <c r="H47" s="139"/>
    </row>
    <row r="48" spans="2:10" ht="15">
      <c r="B48" s="143"/>
      <c r="C48" s="148" t="s">
        <v>280</v>
      </c>
      <c r="D48" s="162">
        <f>D45*0.3</f>
        <v>9.939</v>
      </c>
      <c r="E48" s="149" t="s">
        <v>34</v>
      </c>
      <c r="F48" s="149"/>
      <c r="G48" s="155"/>
      <c r="H48" s="139"/>
      <c r="J48" t="s">
        <v>354</v>
      </c>
    </row>
    <row r="49" spans="2:8" ht="15">
      <c r="B49" s="143"/>
      <c r="C49" s="148"/>
      <c r="D49" s="154"/>
      <c r="E49" s="149"/>
      <c r="F49" s="149"/>
      <c r="G49" s="155"/>
      <c r="H49" s="139"/>
    </row>
    <row r="50" spans="2:8" ht="18" customHeight="1">
      <c r="B50" s="141" t="s">
        <v>115</v>
      </c>
      <c r="C50" s="164" t="s">
        <v>161</v>
      </c>
      <c r="D50" s="154"/>
      <c r="E50" s="149"/>
      <c r="F50" s="150"/>
      <c r="G50" s="151"/>
      <c r="H50" s="139"/>
    </row>
    <row r="51" spans="2:10" ht="18" customHeight="1">
      <c r="B51" s="141"/>
      <c r="C51" s="148" t="s">
        <v>278</v>
      </c>
      <c r="D51" s="162"/>
      <c r="E51" s="149" t="s">
        <v>34</v>
      </c>
      <c r="F51" s="150"/>
      <c r="G51" s="151"/>
      <c r="H51" s="139"/>
      <c r="J51" s="139">
        <v>33.2</v>
      </c>
    </row>
    <row r="52" spans="2:10" ht="18" customHeight="1">
      <c r="B52" s="141"/>
      <c r="C52" s="164"/>
      <c r="D52" s="154"/>
      <c r="E52" s="149"/>
      <c r="F52" s="150"/>
      <c r="G52" s="151"/>
      <c r="H52" s="139"/>
      <c r="J52" s="139">
        <v>11.5</v>
      </c>
    </row>
    <row r="53" spans="2:10" ht="18" customHeight="1">
      <c r="B53" s="141" t="s">
        <v>162</v>
      </c>
      <c r="C53" s="164" t="s">
        <v>163</v>
      </c>
      <c r="D53" s="154"/>
      <c r="E53" s="149"/>
      <c r="F53" s="150"/>
      <c r="G53" s="151"/>
      <c r="H53" s="139"/>
      <c r="J53" s="139">
        <v>11.5</v>
      </c>
    </row>
    <row r="54" spans="2:10" ht="18" customHeight="1">
      <c r="B54" s="141"/>
      <c r="C54" s="164" t="s">
        <v>279</v>
      </c>
      <c r="D54" s="162">
        <f>D25*0.4</f>
        <v>10.800000000000002</v>
      </c>
      <c r="E54" s="149" t="s">
        <v>0</v>
      </c>
      <c r="F54" s="150"/>
      <c r="G54" s="151"/>
      <c r="H54" s="139"/>
      <c r="J54" s="139">
        <v>7.41</v>
      </c>
    </row>
    <row r="55" spans="2:10" ht="18" customHeight="1">
      <c r="B55" s="141"/>
      <c r="C55" s="164"/>
      <c r="D55" s="149"/>
      <c r="E55" s="149"/>
      <c r="F55" s="150"/>
      <c r="G55" s="151"/>
      <c r="H55" s="139"/>
      <c r="J55" s="139">
        <v>9.17</v>
      </c>
    </row>
    <row r="56" spans="2:12" ht="21.75" customHeight="1">
      <c r="B56" s="141" t="s">
        <v>164</v>
      </c>
      <c r="C56" s="541" t="s">
        <v>165</v>
      </c>
      <c r="D56" s="542"/>
      <c r="E56" s="542"/>
      <c r="F56" s="542"/>
      <c r="G56" s="543"/>
      <c r="H56" s="139"/>
      <c r="J56" s="139">
        <f>SUM(J51:J55)</f>
        <v>72.78</v>
      </c>
      <c r="K56" s="139">
        <v>3</v>
      </c>
      <c r="L56" s="139">
        <f>K56*J56</f>
        <v>218.34</v>
      </c>
    </row>
    <row r="57" spans="2:7" ht="15">
      <c r="B57" s="170"/>
      <c r="C57" s="171" t="s">
        <v>166</v>
      </c>
      <c r="D57" s="169"/>
      <c r="E57" s="169"/>
      <c r="F57" s="170"/>
      <c r="G57" s="170"/>
    </row>
    <row r="58" spans="2:7" ht="15">
      <c r="B58" s="170"/>
      <c r="C58" s="171">
        <v>-8.83</v>
      </c>
      <c r="D58" s="172">
        <f>D29</f>
        <v>8.832</v>
      </c>
      <c r="E58" s="149" t="s">
        <v>34</v>
      </c>
      <c r="F58" s="170"/>
      <c r="G58" s="170"/>
    </row>
    <row r="60" spans="2:8" ht="15">
      <c r="B60" s="142" t="s">
        <v>9</v>
      </c>
      <c r="C60" s="529" t="s">
        <v>120</v>
      </c>
      <c r="D60" s="530"/>
      <c r="E60" s="530"/>
      <c r="F60" s="530"/>
      <c r="G60" s="531"/>
      <c r="H60" s="139"/>
    </row>
    <row r="61" spans="2:13" ht="18" customHeight="1">
      <c r="B61" s="141" t="s">
        <v>116</v>
      </c>
      <c r="C61" s="148" t="s">
        <v>144</v>
      </c>
      <c r="D61" s="154"/>
      <c r="E61" s="149"/>
      <c r="F61" s="150"/>
      <c r="G61" s="151"/>
      <c r="H61" s="139"/>
      <c r="I61" s="282" t="s">
        <v>355</v>
      </c>
      <c r="J61">
        <v>0.8</v>
      </c>
      <c r="K61" s="139">
        <v>2.1</v>
      </c>
      <c r="L61" s="139">
        <v>5</v>
      </c>
      <c r="M61" s="139">
        <f>L61*K61*J61</f>
        <v>8.4</v>
      </c>
    </row>
    <row r="62" spans="2:13" ht="18" customHeight="1">
      <c r="B62" s="141"/>
      <c r="C62" s="148"/>
      <c r="D62" s="154">
        <v>3.95</v>
      </c>
      <c r="E62" s="149"/>
      <c r="F62" s="150"/>
      <c r="G62" s="151"/>
      <c r="H62" s="139"/>
      <c r="J62" s="139">
        <v>0.6</v>
      </c>
      <c r="K62" s="139">
        <v>1.6</v>
      </c>
      <c r="L62" s="139">
        <v>1</v>
      </c>
      <c r="M62" s="139">
        <f>L62*K62*J62</f>
        <v>0.96</v>
      </c>
    </row>
    <row r="63" spans="2:13" ht="18" customHeight="1">
      <c r="B63" s="141"/>
      <c r="C63" s="148"/>
      <c r="D63" s="154">
        <v>2.6</v>
      </c>
      <c r="E63" s="149"/>
      <c r="F63" s="150"/>
      <c r="G63" s="151"/>
      <c r="H63" s="139"/>
      <c r="J63" s="139">
        <v>1.6</v>
      </c>
      <c r="K63" s="139">
        <v>2.1</v>
      </c>
      <c r="L63" s="139">
        <v>1</v>
      </c>
      <c r="M63" s="139">
        <f>L63*K63*J63</f>
        <v>3.3600000000000003</v>
      </c>
    </row>
    <row r="64" spans="2:13" ht="18" customHeight="1">
      <c r="B64" s="141"/>
      <c r="C64" s="148"/>
      <c r="D64" s="154">
        <v>3.95</v>
      </c>
      <c r="E64" s="149"/>
      <c r="F64" s="150"/>
      <c r="G64" s="151"/>
      <c r="H64" s="139"/>
      <c r="M64" s="139">
        <f>SUM(M61:M63)</f>
        <v>12.719999999999999</v>
      </c>
    </row>
    <row r="65" spans="2:8" ht="18" customHeight="1">
      <c r="B65" s="141"/>
      <c r="C65" s="148"/>
      <c r="D65" s="154">
        <v>2.3</v>
      </c>
      <c r="E65" s="149"/>
      <c r="F65" s="150"/>
      <c r="G65" s="151"/>
      <c r="H65" s="139"/>
    </row>
    <row r="66" spans="2:8" ht="18" customHeight="1">
      <c r="B66" s="141"/>
      <c r="C66" s="148"/>
      <c r="D66" s="154">
        <v>1.5</v>
      </c>
      <c r="E66" s="149"/>
      <c r="F66" s="150"/>
      <c r="G66" s="151"/>
      <c r="H66" s="139"/>
    </row>
    <row r="67" spans="2:8" ht="18" customHeight="1">
      <c r="B67" s="141"/>
      <c r="C67" s="148"/>
      <c r="D67" s="169"/>
      <c r="F67" s="150"/>
      <c r="G67" s="151"/>
      <c r="H67" s="139"/>
    </row>
    <row r="68" spans="2:11" ht="18" customHeight="1">
      <c r="B68" s="141"/>
      <c r="C68" s="148" t="s">
        <v>145</v>
      </c>
      <c r="D68" s="169"/>
      <c r="E68" s="149"/>
      <c r="F68" s="150"/>
      <c r="G68" s="151"/>
      <c r="H68" s="139"/>
      <c r="I68" s="282" t="s">
        <v>356</v>
      </c>
      <c r="J68" s="139">
        <v>3</v>
      </c>
      <c r="K68" s="139">
        <v>0.6</v>
      </c>
    </row>
    <row r="69" spans="2:11" ht="18" customHeight="1">
      <c r="B69" s="141"/>
      <c r="C69" s="148"/>
      <c r="D69" s="154">
        <v>1.15</v>
      </c>
      <c r="E69" s="149"/>
      <c r="F69" s="150"/>
      <c r="G69" s="151"/>
      <c r="H69" s="139"/>
      <c r="J69" s="139">
        <v>4</v>
      </c>
      <c r="K69" s="139">
        <v>0.6</v>
      </c>
    </row>
    <row r="70" spans="2:11" ht="18" customHeight="1">
      <c r="B70" s="141"/>
      <c r="C70" s="148"/>
      <c r="D70" s="154">
        <v>2.5</v>
      </c>
      <c r="E70" s="149"/>
      <c r="F70" s="150"/>
      <c r="G70" s="151"/>
      <c r="H70" s="139"/>
      <c r="J70" s="139">
        <v>1.65</v>
      </c>
      <c r="K70" s="139">
        <v>0.6</v>
      </c>
    </row>
    <row r="71" spans="2:11" ht="18" customHeight="1">
      <c r="B71" s="141"/>
      <c r="C71" s="148"/>
      <c r="D71" s="154">
        <v>9.05</v>
      </c>
      <c r="E71" s="149"/>
      <c r="F71" s="150"/>
      <c r="G71" s="151"/>
      <c r="H71" s="139"/>
      <c r="J71" s="139">
        <v>1.65</v>
      </c>
      <c r="K71" s="139">
        <v>0.6</v>
      </c>
    </row>
    <row r="72" spans="2:11" ht="18" customHeight="1">
      <c r="B72" s="141"/>
      <c r="C72" s="148"/>
      <c r="D72" s="154"/>
      <c r="E72" s="149"/>
      <c r="F72" s="150"/>
      <c r="G72" s="151"/>
      <c r="H72" s="139"/>
      <c r="J72" s="139">
        <v>1</v>
      </c>
      <c r="K72" s="139">
        <v>0.6</v>
      </c>
    </row>
    <row r="73" spans="2:11" ht="18" customHeight="1">
      <c r="B73" s="141"/>
      <c r="D73" s="173">
        <f>SUM(D62:D72)</f>
        <v>27.000000000000004</v>
      </c>
      <c r="E73" s="150" t="s">
        <v>0</v>
      </c>
      <c r="F73" s="150"/>
      <c r="G73" s="151"/>
      <c r="H73" s="139"/>
      <c r="K73" s="139">
        <f>SUM(K68:K72)</f>
        <v>3</v>
      </c>
    </row>
    <row r="74" spans="2:8" ht="18" customHeight="1">
      <c r="B74" s="141"/>
      <c r="C74" s="174" t="s">
        <v>167</v>
      </c>
      <c r="D74" s="175">
        <f>D73*3.3</f>
        <v>89.10000000000001</v>
      </c>
      <c r="E74" s="150" t="s">
        <v>0</v>
      </c>
      <c r="F74" s="150"/>
      <c r="G74" s="151"/>
      <c r="H74" s="139"/>
    </row>
    <row r="75" spans="2:8" ht="18" customHeight="1">
      <c r="B75" s="141"/>
      <c r="C75" s="164"/>
      <c r="D75" s="149"/>
      <c r="E75" s="149"/>
      <c r="F75" s="150"/>
      <c r="G75" s="151"/>
      <c r="H75" s="139"/>
    </row>
    <row r="76" spans="2:8" ht="29.25" customHeight="1">
      <c r="B76" s="141" t="s">
        <v>117</v>
      </c>
      <c r="C76" s="164" t="s">
        <v>168</v>
      </c>
      <c r="D76" s="149"/>
      <c r="E76" s="149"/>
      <c r="F76" s="150"/>
      <c r="G76" s="151"/>
      <c r="H76" s="139"/>
    </row>
    <row r="77" spans="2:8" ht="18" customHeight="1">
      <c r="B77" s="141"/>
      <c r="C77" s="164" t="s">
        <v>169</v>
      </c>
      <c r="D77" s="149"/>
      <c r="E77" s="149"/>
      <c r="F77" s="150"/>
      <c r="G77" s="151"/>
      <c r="H77" s="139"/>
    </row>
    <row r="78" spans="2:8" ht="18" customHeight="1">
      <c r="B78" s="141"/>
      <c r="C78" s="164" t="s">
        <v>284</v>
      </c>
      <c r="D78" s="173">
        <f>0.12*0.2*4*6</f>
        <v>0.5760000000000001</v>
      </c>
      <c r="E78" s="154" t="s">
        <v>34</v>
      </c>
      <c r="F78" s="150"/>
      <c r="G78" s="151"/>
      <c r="H78" s="139"/>
    </row>
    <row r="79" spans="2:8" ht="18" customHeight="1">
      <c r="B79" s="141"/>
      <c r="C79" s="198" t="s">
        <v>287</v>
      </c>
      <c r="D79" s="154"/>
      <c r="E79" s="154"/>
      <c r="F79" s="150"/>
      <c r="G79" s="151"/>
      <c r="H79" s="139"/>
    </row>
    <row r="80" spans="2:8" ht="18" customHeight="1">
      <c r="B80" s="141"/>
      <c r="C80" s="185" t="s">
        <v>288</v>
      </c>
      <c r="D80" s="158">
        <f>3*1.3*0.1*0.2</f>
        <v>0.07800000000000001</v>
      </c>
      <c r="E80" s="158" t="s">
        <v>34</v>
      </c>
      <c r="F80" s="150"/>
      <c r="G80" s="151"/>
      <c r="H80" s="139"/>
    </row>
    <row r="81" spans="2:8" ht="18" customHeight="1">
      <c r="B81" s="141"/>
      <c r="C81" s="170"/>
      <c r="D81" s="154"/>
      <c r="E81" s="154"/>
      <c r="F81" s="150"/>
      <c r="G81" s="151"/>
      <c r="H81" s="139"/>
    </row>
    <row r="82" spans="2:8" ht="18" customHeight="1">
      <c r="B82" s="141"/>
      <c r="C82" s="164" t="s">
        <v>171</v>
      </c>
      <c r="D82" s="154"/>
      <c r="E82" s="154"/>
      <c r="F82" s="150"/>
      <c r="G82" s="151"/>
      <c r="H82" s="139"/>
    </row>
    <row r="83" spans="2:8" ht="18" customHeight="1">
      <c r="B83" s="141"/>
      <c r="C83" s="164" t="s">
        <v>286</v>
      </c>
      <c r="D83" s="173">
        <f>3.15*0.12*0.3</f>
        <v>0.1134</v>
      </c>
      <c r="E83" s="154" t="s">
        <v>34</v>
      </c>
      <c r="F83" s="150"/>
      <c r="G83" s="151"/>
      <c r="H83" s="139"/>
    </row>
    <row r="84" spans="2:8" ht="18" customHeight="1">
      <c r="B84" s="141"/>
      <c r="C84" s="176" t="s">
        <v>31</v>
      </c>
      <c r="D84" s="162">
        <f>SUM(D78:D83)</f>
        <v>0.7674000000000001</v>
      </c>
      <c r="E84" s="154" t="s">
        <v>34</v>
      </c>
      <c r="F84" s="150"/>
      <c r="G84" s="151"/>
      <c r="H84" s="139"/>
    </row>
    <row r="85" spans="2:8" ht="18" customHeight="1">
      <c r="B85" s="141"/>
      <c r="C85" s="164"/>
      <c r="D85" s="154"/>
      <c r="E85" s="154"/>
      <c r="F85" s="150"/>
      <c r="G85" s="151"/>
      <c r="H85" s="139"/>
    </row>
    <row r="86" spans="2:8" ht="15">
      <c r="B86" s="141" t="s">
        <v>172</v>
      </c>
      <c r="C86" s="544" t="s">
        <v>173</v>
      </c>
      <c r="D86" s="545"/>
      <c r="E86" s="545"/>
      <c r="F86" s="545"/>
      <c r="G86" s="546"/>
      <c r="H86" s="139"/>
    </row>
    <row r="87" spans="2:8" ht="15">
      <c r="B87" s="141"/>
      <c r="C87" s="180" t="s">
        <v>174</v>
      </c>
      <c r="D87" s="162">
        <v>36.9325</v>
      </c>
      <c r="E87" s="181" t="s">
        <v>0</v>
      </c>
      <c r="F87" s="178"/>
      <c r="G87" s="179"/>
      <c r="H87" s="139"/>
    </row>
    <row r="88" spans="2:8" ht="15">
      <c r="B88" s="141"/>
      <c r="C88" s="177"/>
      <c r="D88" s="197"/>
      <c r="E88" s="178"/>
      <c r="F88" s="178"/>
      <c r="G88" s="179"/>
      <c r="H88" s="139"/>
    </row>
    <row r="89" spans="2:8" ht="18" customHeight="1">
      <c r="B89" s="141"/>
      <c r="C89" s="164" t="s">
        <v>170</v>
      </c>
      <c r="D89" s="154"/>
      <c r="E89" s="154"/>
      <c r="F89" s="150"/>
      <c r="G89" s="151"/>
      <c r="H89" s="139"/>
    </row>
    <row r="90" spans="2:8" ht="18" customHeight="1">
      <c r="B90" s="141"/>
      <c r="C90" s="164" t="s">
        <v>285</v>
      </c>
      <c r="D90" s="173">
        <f>0.1*0.2*27*2</f>
        <v>1.0800000000000003</v>
      </c>
      <c r="E90" s="154" t="s">
        <v>34</v>
      </c>
      <c r="F90" s="150"/>
      <c r="G90" s="151"/>
      <c r="H90" s="139"/>
    </row>
    <row r="91" spans="1:8" ht="15">
      <c r="A91" s="139"/>
      <c r="B91" s="142" t="s">
        <v>11</v>
      </c>
      <c r="C91" s="152" t="s">
        <v>36</v>
      </c>
      <c r="D91" s="182"/>
      <c r="E91" s="182"/>
      <c r="F91" s="183"/>
      <c r="G91" s="184"/>
      <c r="H91" s="139"/>
    </row>
    <row r="92" spans="2:9" s="199" customFormat="1" ht="15">
      <c r="B92" s="190" t="s">
        <v>78</v>
      </c>
      <c r="C92" s="547" t="s">
        <v>290</v>
      </c>
      <c r="D92" s="548"/>
      <c r="E92" s="548"/>
      <c r="F92" s="548"/>
      <c r="G92" s="549"/>
      <c r="I92" s="200"/>
    </row>
    <row r="93" spans="2:9" s="199" customFormat="1" ht="15">
      <c r="B93" s="190" t="s">
        <v>118</v>
      </c>
      <c r="C93" s="547" t="s">
        <v>291</v>
      </c>
      <c r="D93" s="548"/>
      <c r="E93" s="548"/>
      <c r="F93" s="548"/>
      <c r="G93" s="549"/>
      <c r="I93" s="200"/>
    </row>
    <row r="94" spans="2:9" s="199" customFormat="1" ht="15">
      <c r="B94" s="190" t="s">
        <v>119</v>
      </c>
      <c r="C94" s="201" t="s">
        <v>289</v>
      </c>
      <c r="D94" s="202">
        <f>(20+15.2)</f>
        <v>35.2</v>
      </c>
      <c r="E94" s="203" t="s">
        <v>53</v>
      </c>
      <c r="F94" s="203"/>
      <c r="G94" s="204"/>
      <c r="I94" s="200"/>
    </row>
    <row r="95" spans="2:9" s="199" customFormat="1" ht="15">
      <c r="B95" s="190" t="s">
        <v>175</v>
      </c>
      <c r="C95" s="547" t="s">
        <v>292</v>
      </c>
      <c r="D95" s="548"/>
      <c r="E95" s="548"/>
      <c r="F95" s="548"/>
      <c r="G95" s="549"/>
      <c r="I95" s="205"/>
    </row>
    <row r="96" spans="2:9" s="199" customFormat="1" ht="15.75" customHeight="1">
      <c r="B96" s="190" t="s">
        <v>176</v>
      </c>
      <c r="C96" s="547" t="s">
        <v>293</v>
      </c>
      <c r="D96" s="548"/>
      <c r="E96" s="548"/>
      <c r="F96" s="548"/>
      <c r="G96" s="549"/>
      <c r="H96" s="206"/>
      <c r="I96" s="200"/>
    </row>
    <row r="97" spans="2:9" s="199" customFormat="1" ht="15">
      <c r="B97" s="207" t="s">
        <v>12</v>
      </c>
      <c r="C97" s="558" t="s">
        <v>177</v>
      </c>
      <c r="D97" s="559"/>
      <c r="E97" s="559"/>
      <c r="F97" s="559"/>
      <c r="G97" s="560"/>
      <c r="I97" s="200"/>
    </row>
    <row r="98" spans="2:9" s="199" customFormat="1" ht="15" customHeight="1">
      <c r="B98" s="190" t="s">
        <v>14</v>
      </c>
      <c r="C98" s="561" t="s">
        <v>294</v>
      </c>
      <c r="D98" s="562"/>
      <c r="E98" s="562"/>
      <c r="F98" s="562"/>
      <c r="G98" s="563"/>
      <c r="H98" s="206"/>
      <c r="I98" s="200"/>
    </row>
    <row r="99" spans="2:9" s="199" customFormat="1" ht="15">
      <c r="B99" s="190" t="s">
        <v>15</v>
      </c>
      <c r="C99" s="561" t="s">
        <v>295</v>
      </c>
      <c r="D99" s="562"/>
      <c r="E99" s="562"/>
      <c r="F99" s="562"/>
      <c r="G99" s="563"/>
      <c r="H99" s="206"/>
      <c r="I99" s="200"/>
    </row>
    <row r="100" spans="2:9" s="199" customFormat="1" ht="16.5" customHeight="1">
      <c r="B100" s="190" t="s">
        <v>106</v>
      </c>
      <c r="C100" s="297" t="s">
        <v>296</v>
      </c>
      <c r="D100" s="209"/>
      <c r="E100" s="209"/>
      <c r="F100" s="298"/>
      <c r="G100" s="299"/>
      <c r="I100" s="200"/>
    </row>
    <row r="101" spans="2:9" s="199" customFormat="1" ht="15">
      <c r="B101" s="190" t="s">
        <v>178</v>
      </c>
      <c r="C101" s="561" t="s">
        <v>297</v>
      </c>
      <c r="D101" s="562"/>
      <c r="E101" s="562"/>
      <c r="F101" s="562"/>
      <c r="G101" s="563"/>
      <c r="I101" s="200"/>
    </row>
    <row r="102" spans="2:9" s="199" customFormat="1" ht="15">
      <c r="B102" s="207" t="s">
        <v>16</v>
      </c>
      <c r="C102" s="564" t="s">
        <v>62</v>
      </c>
      <c r="D102" s="565"/>
      <c r="E102" s="565"/>
      <c r="F102" s="565"/>
      <c r="G102" s="566"/>
      <c r="I102" s="200"/>
    </row>
    <row r="103" spans="2:9" s="199" customFormat="1" ht="15">
      <c r="B103" s="190" t="s">
        <v>60</v>
      </c>
      <c r="C103" s="567" t="s">
        <v>298</v>
      </c>
      <c r="D103" s="568"/>
      <c r="E103" s="568"/>
      <c r="F103" s="568"/>
      <c r="G103" s="569"/>
      <c r="I103" s="200"/>
    </row>
    <row r="104" spans="2:9" s="199" customFormat="1" ht="15">
      <c r="B104" s="190" t="s">
        <v>61</v>
      </c>
      <c r="C104" s="567" t="s">
        <v>299</v>
      </c>
      <c r="D104" s="568"/>
      <c r="E104" s="568"/>
      <c r="F104" s="568"/>
      <c r="G104" s="569"/>
      <c r="I104" s="200"/>
    </row>
    <row r="105" spans="2:9" s="199" customFormat="1" ht="15">
      <c r="B105" s="190" t="s">
        <v>63</v>
      </c>
      <c r="C105" s="567" t="s">
        <v>300</v>
      </c>
      <c r="D105" s="568"/>
      <c r="E105" s="568"/>
      <c r="F105" s="568"/>
      <c r="G105" s="569"/>
      <c r="I105" s="200"/>
    </row>
    <row r="106" spans="2:9" s="199" customFormat="1" ht="15">
      <c r="B106" s="190" t="s">
        <v>66</v>
      </c>
      <c r="C106" s="567" t="s">
        <v>301</v>
      </c>
      <c r="D106" s="568"/>
      <c r="E106" s="568"/>
      <c r="F106" s="568"/>
      <c r="G106" s="569"/>
      <c r="I106" s="200"/>
    </row>
    <row r="107" spans="2:9" s="199" customFormat="1" ht="17.25" customHeight="1">
      <c r="B107" s="190" t="s">
        <v>179</v>
      </c>
      <c r="C107" s="567" t="s">
        <v>302</v>
      </c>
      <c r="D107" s="568"/>
      <c r="E107" s="568"/>
      <c r="F107" s="568"/>
      <c r="G107" s="569"/>
      <c r="I107" s="200"/>
    </row>
    <row r="108" spans="2:9" s="199" customFormat="1" ht="15">
      <c r="B108" s="190" t="s">
        <v>180</v>
      </c>
      <c r="C108" s="567" t="s">
        <v>303</v>
      </c>
      <c r="D108" s="568"/>
      <c r="E108" s="568"/>
      <c r="F108" s="568"/>
      <c r="G108" s="569"/>
      <c r="I108" s="200"/>
    </row>
    <row r="109" spans="2:9" s="199" customFormat="1" ht="15">
      <c r="B109" s="190" t="s">
        <v>181</v>
      </c>
      <c r="C109" s="567" t="s">
        <v>304</v>
      </c>
      <c r="D109" s="568"/>
      <c r="E109" s="568"/>
      <c r="F109" s="568"/>
      <c r="G109" s="569"/>
      <c r="I109" s="200"/>
    </row>
    <row r="110" spans="2:9" s="199" customFormat="1" ht="15">
      <c r="B110" s="190" t="s">
        <v>182</v>
      </c>
      <c r="C110" s="567" t="s">
        <v>305</v>
      </c>
      <c r="D110" s="568"/>
      <c r="E110" s="568"/>
      <c r="F110" s="568"/>
      <c r="G110" s="569"/>
      <c r="I110" s="200"/>
    </row>
    <row r="111" spans="2:9" s="199" customFormat="1" ht="15">
      <c r="B111" s="190" t="s">
        <v>183</v>
      </c>
      <c r="C111" s="567" t="s">
        <v>306</v>
      </c>
      <c r="D111" s="568"/>
      <c r="E111" s="568"/>
      <c r="F111" s="568"/>
      <c r="G111" s="569"/>
      <c r="I111" s="200"/>
    </row>
    <row r="112" spans="2:9" s="199" customFormat="1" ht="15">
      <c r="B112" s="190" t="s">
        <v>184</v>
      </c>
      <c r="C112" s="567" t="s">
        <v>307</v>
      </c>
      <c r="D112" s="568"/>
      <c r="E112" s="568"/>
      <c r="F112" s="568"/>
      <c r="G112" s="569"/>
      <c r="I112" s="200"/>
    </row>
    <row r="113" spans="2:9" s="199" customFormat="1" ht="15">
      <c r="B113" s="190" t="s">
        <v>185</v>
      </c>
      <c r="C113" s="567" t="s">
        <v>308</v>
      </c>
      <c r="D113" s="568"/>
      <c r="E113" s="568"/>
      <c r="F113" s="568"/>
      <c r="G113" s="569"/>
      <c r="I113" s="200"/>
    </row>
    <row r="114" spans="2:9" s="199" customFormat="1" ht="15">
      <c r="B114" s="190" t="s">
        <v>186</v>
      </c>
      <c r="C114" s="567" t="s">
        <v>309</v>
      </c>
      <c r="D114" s="568"/>
      <c r="E114" s="568"/>
      <c r="F114" s="568"/>
      <c r="G114" s="569"/>
      <c r="I114" s="200"/>
    </row>
    <row r="115" spans="2:9" s="199" customFormat="1" ht="15">
      <c r="B115" s="190" t="s">
        <v>187</v>
      </c>
      <c r="C115" s="567" t="s">
        <v>310</v>
      </c>
      <c r="D115" s="568"/>
      <c r="E115" s="568"/>
      <c r="F115" s="568"/>
      <c r="G115" s="569"/>
      <c r="I115" s="200"/>
    </row>
    <row r="116" spans="2:9" s="199" customFormat="1" ht="15">
      <c r="B116" s="190" t="s">
        <v>188</v>
      </c>
      <c r="C116" s="567" t="s">
        <v>311</v>
      </c>
      <c r="D116" s="568"/>
      <c r="E116" s="568"/>
      <c r="F116" s="568"/>
      <c r="G116" s="569"/>
      <c r="I116" s="200"/>
    </row>
    <row r="117" spans="2:9" s="199" customFormat="1" ht="15">
      <c r="B117" s="190" t="s">
        <v>189</v>
      </c>
      <c r="C117" s="567" t="s">
        <v>312</v>
      </c>
      <c r="D117" s="568"/>
      <c r="E117" s="568"/>
      <c r="F117" s="568"/>
      <c r="G117" s="569"/>
      <c r="I117" s="200"/>
    </row>
    <row r="118" spans="2:9" s="199" customFormat="1" ht="18" customHeight="1">
      <c r="B118" s="190"/>
      <c r="C118" s="303" t="s">
        <v>313</v>
      </c>
      <c r="D118" s="213"/>
      <c r="E118" s="213"/>
      <c r="F118" s="304"/>
      <c r="G118" s="305"/>
      <c r="I118" s="200"/>
    </row>
    <row r="119" spans="2:9" s="199" customFormat="1" ht="15">
      <c r="B119" s="190" t="s">
        <v>190</v>
      </c>
      <c r="C119" s="567" t="s">
        <v>314</v>
      </c>
      <c r="D119" s="568"/>
      <c r="E119" s="568"/>
      <c r="F119" s="568"/>
      <c r="G119" s="569"/>
      <c r="I119" s="200"/>
    </row>
    <row r="120" spans="2:9" s="199" customFormat="1" ht="15">
      <c r="B120" s="190" t="s">
        <v>191</v>
      </c>
      <c r="C120" s="567" t="s">
        <v>315</v>
      </c>
      <c r="D120" s="568"/>
      <c r="E120" s="568"/>
      <c r="F120" s="568"/>
      <c r="G120" s="569"/>
      <c r="I120" s="200"/>
    </row>
    <row r="121" spans="2:9" s="199" customFormat="1" ht="15">
      <c r="B121" s="190" t="s">
        <v>192</v>
      </c>
      <c r="C121" s="567" t="s">
        <v>316</v>
      </c>
      <c r="D121" s="568"/>
      <c r="E121" s="568"/>
      <c r="F121" s="568"/>
      <c r="G121" s="569"/>
      <c r="I121" s="200"/>
    </row>
    <row r="122" spans="2:9" s="199" customFormat="1" ht="15">
      <c r="B122" s="190" t="s">
        <v>193</v>
      </c>
      <c r="C122" s="567" t="s">
        <v>317</v>
      </c>
      <c r="D122" s="568"/>
      <c r="E122" s="568"/>
      <c r="F122" s="568"/>
      <c r="G122" s="569"/>
      <c r="I122" s="200"/>
    </row>
    <row r="123" spans="2:9" s="199" customFormat="1" ht="15">
      <c r="B123" s="190" t="s">
        <v>194</v>
      </c>
      <c r="C123" s="303" t="s">
        <v>318</v>
      </c>
      <c r="D123" s="213"/>
      <c r="E123" s="213"/>
      <c r="F123" s="304"/>
      <c r="G123" s="305"/>
      <c r="I123" s="200"/>
    </row>
    <row r="124" spans="2:9" s="199" customFormat="1" ht="15">
      <c r="B124" s="207" t="s">
        <v>17</v>
      </c>
      <c r="C124" s="564" t="s">
        <v>195</v>
      </c>
      <c r="D124" s="565"/>
      <c r="E124" s="565"/>
      <c r="F124" s="565"/>
      <c r="G124" s="566"/>
      <c r="I124" s="200"/>
    </row>
    <row r="125" spans="2:9" s="199" customFormat="1" ht="15">
      <c r="B125" s="190" t="s">
        <v>19</v>
      </c>
      <c r="C125" s="561" t="s">
        <v>319</v>
      </c>
      <c r="D125" s="562"/>
      <c r="E125" s="562"/>
      <c r="F125" s="562"/>
      <c r="G125" s="563"/>
      <c r="I125" s="200"/>
    </row>
    <row r="126" spans="2:9" s="199" customFormat="1" ht="15">
      <c r="B126" s="190" t="s">
        <v>20</v>
      </c>
      <c r="C126" s="561" t="s">
        <v>320</v>
      </c>
      <c r="D126" s="562"/>
      <c r="E126" s="562"/>
      <c r="F126" s="562"/>
      <c r="G126" s="563"/>
      <c r="I126" s="200"/>
    </row>
    <row r="127" spans="2:9" s="199" customFormat="1" ht="15">
      <c r="B127" s="190" t="s">
        <v>28</v>
      </c>
      <c r="C127" s="561" t="s">
        <v>321</v>
      </c>
      <c r="D127" s="562"/>
      <c r="E127" s="562"/>
      <c r="F127" s="562"/>
      <c r="G127" s="563"/>
      <c r="I127" s="200"/>
    </row>
    <row r="128" spans="2:9" s="199" customFormat="1" ht="15">
      <c r="B128" s="190" t="s">
        <v>29</v>
      </c>
      <c r="C128" s="561" t="s">
        <v>322</v>
      </c>
      <c r="D128" s="562"/>
      <c r="E128" s="562"/>
      <c r="F128" s="562"/>
      <c r="G128" s="563"/>
      <c r="I128" s="200"/>
    </row>
    <row r="129" spans="2:9" s="199" customFormat="1" ht="15">
      <c r="B129" s="190" t="s">
        <v>30</v>
      </c>
      <c r="C129" s="561" t="s">
        <v>323</v>
      </c>
      <c r="D129" s="562"/>
      <c r="E129" s="562"/>
      <c r="F129" s="562"/>
      <c r="G129" s="563"/>
      <c r="I129" s="200"/>
    </row>
    <row r="130" spans="2:9" s="199" customFormat="1" ht="15">
      <c r="B130" s="190" t="s">
        <v>64</v>
      </c>
      <c r="C130" s="561" t="s">
        <v>324</v>
      </c>
      <c r="D130" s="562"/>
      <c r="E130" s="562"/>
      <c r="F130" s="562"/>
      <c r="G130" s="563"/>
      <c r="I130" s="200"/>
    </row>
    <row r="131" spans="2:9" s="199" customFormat="1" ht="15">
      <c r="B131" s="190" t="s">
        <v>65</v>
      </c>
      <c r="C131" s="561" t="s">
        <v>325</v>
      </c>
      <c r="D131" s="562"/>
      <c r="E131" s="562"/>
      <c r="F131" s="562"/>
      <c r="G131" s="563"/>
      <c r="I131" s="200"/>
    </row>
    <row r="132" spans="2:9" s="199" customFormat="1" ht="15">
      <c r="B132" s="190" t="s">
        <v>107</v>
      </c>
      <c r="C132" s="561" t="s">
        <v>326</v>
      </c>
      <c r="D132" s="562"/>
      <c r="E132" s="562"/>
      <c r="F132" s="562"/>
      <c r="G132" s="563"/>
      <c r="I132" s="200"/>
    </row>
    <row r="133" spans="2:9" s="199" customFormat="1" ht="15">
      <c r="B133" s="190" t="s">
        <v>108</v>
      </c>
      <c r="C133" s="561" t="s">
        <v>327</v>
      </c>
      <c r="D133" s="562"/>
      <c r="E133" s="562"/>
      <c r="F133" s="562"/>
      <c r="G133" s="563"/>
      <c r="I133" s="200"/>
    </row>
    <row r="134" spans="2:9" s="199" customFormat="1" ht="15">
      <c r="B134" s="190" t="s">
        <v>109</v>
      </c>
      <c r="C134" s="561" t="s">
        <v>328</v>
      </c>
      <c r="D134" s="562"/>
      <c r="E134" s="562"/>
      <c r="F134" s="562"/>
      <c r="G134" s="563"/>
      <c r="I134" s="200"/>
    </row>
    <row r="135" spans="2:9" s="199" customFormat="1" ht="15">
      <c r="B135" s="190" t="s">
        <v>196</v>
      </c>
      <c r="C135" s="561" t="s">
        <v>329</v>
      </c>
      <c r="D135" s="562"/>
      <c r="E135" s="562"/>
      <c r="F135" s="562"/>
      <c r="G135" s="563"/>
      <c r="I135" s="200"/>
    </row>
    <row r="136" spans="2:9" s="199" customFormat="1" ht="15">
      <c r="B136" s="190" t="s">
        <v>197</v>
      </c>
      <c r="C136" s="561" t="s">
        <v>330</v>
      </c>
      <c r="D136" s="562"/>
      <c r="E136" s="562"/>
      <c r="F136" s="562"/>
      <c r="G136" s="563"/>
      <c r="I136" s="200"/>
    </row>
    <row r="137" spans="2:9" s="199" customFormat="1" ht="15" customHeight="1">
      <c r="B137" s="190" t="s">
        <v>198</v>
      </c>
      <c r="C137" s="561" t="s">
        <v>331</v>
      </c>
      <c r="D137" s="562"/>
      <c r="E137" s="562"/>
      <c r="F137" s="562"/>
      <c r="G137" s="563"/>
      <c r="I137" s="200"/>
    </row>
    <row r="138" spans="2:9" s="199" customFormat="1" ht="15">
      <c r="B138" s="190" t="s">
        <v>199</v>
      </c>
      <c r="C138" s="561" t="s">
        <v>332</v>
      </c>
      <c r="D138" s="562"/>
      <c r="E138" s="562"/>
      <c r="F138" s="562"/>
      <c r="G138" s="563"/>
      <c r="I138" s="200"/>
    </row>
    <row r="139" spans="2:9" s="199" customFormat="1" ht="15">
      <c r="B139" s="190" t="s">
        <v>200</v>
      </c>
      <c r="C139" s="561" t="s">
        <v>333</v>
      </c>
      <c r="D139" s="562"/>
      <c r="E139" s="562"/>
      <c r="F139" s="562"/>
      <c r="G139" s="563"/>
      <c r="I139" s="200"/>
    </row>
    <row r="140" spans="2:9" s="199" customFormat="1" ht="15">
      <c r="B140" s="190" t="s">
        <v>201</v>
      </c>
      <c r="C140" s="561" t="s">
        <v>334</v>
      </c>
      <c r="D140" s="562"/>
      <c r="E140" s="562"/>
      <c r="F140" s="562"/>
      <c r="G140" s="563"/>
      <c r="I140" s="200"/>
    </row>
    <row r="141" spans="2:9" s="199" customFormat="1" ht="15">
      <c r="B141" s="190" t="s">
        <v>202</v>
      </c>
      <c r="C141" s="561" t="s">
        <v>335</v>
      </c>
      <c r="D141" s="562"/>
      <c r="E141" s="562"/>
      <c r="F141" s="562"/>
      <c r="G141" s="563"/>
      <c r="I141" s="200"/>
    </row>
    <row r="142" spans="2:9" s="199" customFormat="1" ht="15">
      <c r="B142" s="190" t="s">
        <v>203</v>
      </c>
      <c r="C142" s="297" t="s">
        <v>336</v>
      </c>
      <c r="D142" s="209"/>
      <c r="E142" s="209"/>
      <c r="F142" s="298"/>
      <c r="G142" s="299"/>
      <c r="I142" s="200"/>
    </row>
    <row r="143" spans="2:9" s="199" customFormat="1" ht="15">
      <c r="B143" s="207" t="s">
        <v>21</v>
      </c>
      <c r="C143" s="564" t="s">
        <v>24</v>
      </c>
      <c r="D143" s="565"/>
      <c r="E143" s="565"/>
      <c r="F143" s="565"/>
      <c r="G143" s="566"/>
      <c r="I143" s="216"/>
    </row>
    <row r="144" spans="2:9" s="199" customFormat="1" ht="15">
      <c r="B144" s="190" t="s">
        <v>23</v>
      </c>
      <c r="C144" s="561" t="s">
        <v>204</v>
      </c>
      <c r="D144" s="565"/>
      <c r="E144" s="565"/>
      <c r="F144" s="565"/>
      <c r="G144" s="566"/>
      <c r="I144" s="216"/>
    </row>
    <row r="145" spans="2:9" s="199" customFormat="1" ht="15">
      <c r="B145" s="207"/>
      <c r="C145" s="217" t="s">
        <v>205</v>
      </c>
      <c r="D145" s="218">
        <f>312.73*2</f>
        <v>625.46</v>
      </c>
      <c r="E145" s="309" t="s">
        <v>0</v>
      </c>
      <c r="F145" s="220"/>
      <c r="G145" s="220"/>
      <c r="I145" s="216"/>
    </row>
    <row r="146" spans="2:9" s="199" customFormat="1" ht="15">
      <c r="B146" s="207"/>
      <c r="C146" s="221"/>
      <c r="D146" s="222"/>
      <c r="E146" s="309"/>
      <c r="F146" s="220"/>
      <c r="G146" s="220"/>
      <c r="I146" s="216"/>
    </row>
    <row r="147" spans="2:9" s="199" customFormat="1" ht="15">
      <c r="B147" s="190" t="s">
        <v>54</v>
      </c>
      <c r="C147" s="561" t="s">
        <v>206</v>
      </c>
      <c r="D147" s="565"/>
      <c r="E147" s="565"/>
      <c r="F147" s="565"/>
      <c r="G147" s="566"/>
      <c r="I147" s="200"/>
    </row>
    <row r="148" spans="2:9" s="199" customFormat="1" ht="15">
      <c r="B148" s="207"/>
      <c r="C148" s="223" t="s">
        <v>151</v>
      </c>
      <c r="D148" s="224">
        <v>12.25</v>
      </c>
      <c r="E148" s="309"/>
      <c r="F148" s="220"/>
      <c r="G148" s="220"/>
      <c r="I148" s="216"/>
    </row>
    <row r="149" spans="2:9" s="199" customFormat="1" ht="15">
      <c r="B149" s="207"/>
      <c r="C149" s="223" t="s">
        <v>152</v>
      </c>
      <c r="D149" s="224">
        <v>40.91</v>
      </c>
      <c r="E149" s="309"/>
      <c r="F149" s="220"/>
      <c r="G149" s="220"/>
      <c r="I149" s="216"/>
    </row>
    <row r="150" spans="2:9" s="199" customFormat="1" ht="15">
      <c r="B150" s="207"/>
      <c r="C150" s="223" t="s">
        <v>153</v>
      </c>
      <c r="D150" s="224">
        <v>9.4</v>
      </c>
      <c r="E150" s="309"/>
      <c r="F150" s="220"/>
      <c r="G150" s="220"/>
      <c r="I150" s="216"/>
    </row>
    <row r="151" spans="2:9" s="199" customFormat="1" ht="15">
      <c r="B151" s="207"/>
      <c r="C151" s="223" t="s">
        <v>154</v>
      </c>
      <c r="D151" s="224">
        <v>4.4</v>
      </c>
      <c r="E151" s="309"/>
      <c r="F151" s="220"/>
      <c r="G151" s="220"/>
      <c r="I151" s="216"/>
    </row>
    <row r="152" spans="2:9" s="199" customFormat="1" ht="15">
      <c r="B152" s="207"/>
      <c r="C152" s="223" t="s">
        <v>154</v>
      </c>
      <c r="D152" s="224">
        <v>4.4</v>
      </c>
      <c r="E152" s="309"/>
      <c r="F152" s="220"/>
      <c r="G152" s="220"/>
      <c r="I152" s="216"/>
    </row>
    <row r="153" spans="2:9" s="199" customFormat="1" ht="15">
      <c r="B153" s="207"/>
      <c r="C153" s="223" t="s">
        <v>155</v>
      </c>
      <c r="D153" s="224">
        <v>4.18</v>
      </c>
      <c r="E153" s="309"/>
      <c r="F153" s="220"/>
      <c r="G153" s="220"/>
      <c r="I153" s="216"/>
    </row>
    <row r="154" spans="2:9" s="199" customFormat="1" ht="15">
      <c r="B154" s="207"/>
      <c r="C154" s="223" t="s">
        <v>156</v>
      </c>
      <c r="D154" s="225">
        <v>5.92</v>
      </c>
      <c r="E154" s="309"/>
      <c r="F154" s="220"/>
      <c r="G154" s="220"/>
      <c r="I154" s="216"/>
    </row>
    <row r="155" spans="2:9" s="199" customFormat="1" ht="15">
      <c r="B155" s="207"/>
      <c r="C155" s="223" t="s">
        <v>157</v>
      </c>
      <c r="D155" s="224">
        <v>23.2</v>
      </c>
      <c r="E155" s="309"/>
      <c r="F155" s="220"/>
      <c r="G155" s="308"/>
      <c r="I155" s="216"/>
    </row>
    <row r="156" spans="2:9" s="199" customFormat="1" ht="15">
      <c r="B156" s="207"/>
      <c r="C156" s="223" t="s">
        <v>158</v>
      </c>
      <c r="D156" s="224">
        <v>28.57</v>
      </c>
      <c r="E156" s="220"/>
      <c r="F156" s="220"/>
      <c r="G156" s="308"/>
      <c r="I156" s="216"/>
    </row>
    <row r="157" spans="2:9" s="199" customFormat="1" ht="15">
      <c r="B157" s="207"/>
      <c r="C157" s="223" t="s">
        <v>159</v>
      </c>
      <c r="D157" s="224">
        <v>10.55</v>
      </c>
      <c r="E157" s="220"/>
      <c r="F157" s="220"/>
      <c r="G157" s="220"/>
      <c r="I157" s="216"/>
    </row>
    <row r="158" spans="2:9" s="199" customFormat="1" ht="15">
      <c r="B158" s="207"/>
      <c r="C158" s="227" t="s">
        <v>31</v>
      </c>
      <c r="D158" s="228">
        <f>SUM(D148:D157)</f>
        <v>143.78</v>
      </c>
      <c r="E158" s="309" t="s">
        <v>0</v>
      </c>
      <c r="F158" s="220"/>
      <c r="G158" s="220"/>
      <c r="I158" s="216"/>
    </row>
    <row r="159" spans="1:9" s="199" customFormat="1" ht="15">
      <c r="A159" s="229"/>
      <c r="B159" s="230"/>
      <c r="C159" s="230"/>
      <c r="D159" s="225"/>
      <c r="E159" s="225"/>
      <c r="F159" s="230"/>
      <c r="G159" s="230"/>
      <c r="H159" s="229"/>
      <c r="I159" s="200"/>
    </row>
    <row r="160" spans="2:9" s="199" customFormat="1" ht="15">
      <c r="B160" s="190" t="s">
        <v>123</v>
      </c>
      <c r="C160" s="561" t="s">
        <v>207</v>
      </c>
      <c r="D160" s="562"/>
      <c r="E160" s="562"/>
      <c r="F160" s="562"/>
      <c r="G160" s="563"/>
      <c r="I160" s="200"/>
    </row>
    <row r="161" spans="1:9" s="199" customFormat="1" ht="15">
      <c r="A161" s="229"/>
      <c r="B161" s="230"/>
      <c r="C161" s="223" t="s">
        <v>208</v>
      </c>
      <c r="D161" s="225">
        <f>(2+2+2.2+2.2)*3</f>
        <v>25.200000000000003</v>
      </c>
      <c r="E161" s="225"/>
      <c r="F161" s="230"/>
      <c r="G161" s="230"/>
      <c r="H161" s="229"/>
      <c r="I161" s="200"/>
    </row>
    <row r="162" spans="1:9" s="199" customFormat="1" ht="15">
      <c r="A162" s="229"/>
      <c r="B162" s="230"/>
      <c r="C162" s="223" t="s">
        <v>208</v>
      </c>
      <c r="D162" s="225">
        <f>(2+2+2.2+2.2)*3</f>
        <v>25.200000000000003</v>
      </c>
      <c r="E162" s="225"/>
      <c r="F162" s="230"/>
      <c r="G162" s="230"/>
      <c r="H162" s="229"/>
      <c r="I162" s="200"/>
    </row>
    <row r="163" spans="1:9" s="199" customFormat="1" ht="15">
      <c r="A163" s="229"/>
      <c r="B163" s="230"/>
      <c r="C163" s="223" t="s">
        <v>209</v>
      </c>
      <c r="D163" s="225">
        <f>(2+2.3+1.1+1.41+1.39)*3</f>
        <v>24.6</v>
      </c>
      <c r="E163" s="225"/>
      <c r="F163" s="230"/>
      <c r="G163" s="230"/>
      <c r="H163" s="229"/>
      <c r="I163" s="200"/>
    </row>
    <row r="164" spans="1:9" s="199" customFormat="1" ht="15">
      <c r="A164" s="229"/>
      <c r="B164" s="230"/>
      <c r="C164" s="223" t="s">
        <v>210</v>
      </c>
      <c r="D164" s="225">
        <f>2.87*0.75</f>
        <v>2.1525</v>
      </c>
      <c r="E164" s="225"/>
      <c r="F164" s="230"/>
      <c r="G164" s="230"/>
      <c r="H164" s="229"/>
      <c r="I164" s="200"/>
    </row>
    <row r="165" spans="1:9" s="199" customFormat="1" ht="15">
      <c r="A165" s="229"/>
      <c r="B165" s="230"/>
      <c r="C165" s="231" t="s">
        <v>31</v>
      </c>
      <c r="D165" s="232">
        <f>SUM(D161:D164)</f>
        <v>77.1525</v>
      </c>
      <c r="E165" s="309" t="s">
        <v>0</v>
      </c>
      <c r="F165" s="230"/>
      <c r="G165" s="230"/>
      <c r="H165" s="229"/>
      <c r="I165" s="200"/>
    </row>
    <row r="166" spans="2:9" s="199" customFormat="1" ht="15">
      <c r="B166" s="190" t="s">
        <v>121</v>
      </c>
      <c r="C166" s="570" t="s">
        <v>211</v>
      </c>
      <c r="D166" s="570"/>
      <c r="E166" s="570"/>
      <c r="F166" s="570"/>
      <c r="G166" s="570"/>
      <c r="I166" s="200"/>
    </row>
    <row r="167" spans="2:9" s="199" customFormat="1" ht="15">
      <c r="B167" s="190"/>
      <c r="C167" s="297" t="s">
        <v>212</v>
      </c>
      <c r="D167" s="298"/>
      <c r="E167" s="298"/>
      <c r="F167" s="298"/>
      <c r="G167" s="299"/>
      <c r="I167" s="200"/>
    </row>
    <row r="168" spans="2:9" s="199" customFormat="1" ht="15">
      <c r="B168" s="190"/>
      <c r="C168" s="227" t="s">
        <v>31</v>
      </c>
      <c r="D168" s="233">
        <f>D145-D165</f>
        <v>548.3075</v>
      </c>
      <c r="E168" s="309" t="s">
        <v>0</v>
      </c>
      <c r="F168" s="298"/>
      <c r="G168" s="299"/>
      <c r="I168" s="200"/>
    </row>
    <row r="169" spans="2:9" s="199" customFormat="1" ht="15">
      <c r="B169" s="190"/>
      <c r="C169" s="297"/>
      <c r="D169" s="298"/>
      <c r="E169" s="298"/>
      <c r="F169" s="298"/>
      <c r="G169" s="299"/>
      <c r="I169" s="200"/>
    </row>
    <row r="170" spans="2:9" s="199" customFormat="1" ht="15">
      <c r="B170" s="190" t="s">
        <v>122</v>
      </c>
      <c r="C170" s="561" t="s">
        <v>213</v>
      </c>
      <c r="D170" s="565"/>
      <c r="E170" s="565"/>
      <c r="F170" s="565"/>
      <c r="G170" s="566"/>
      <c r="I170" s="200"/>
    </row>
    <row r="171" spans="2:9" s="199" customFormat="1" ht="15">
      <c r="B171" s="190"/>
      <c r="C171" s="223" t="s">
        <v>151</v>
      </c>
      <c r="D171" s="224">
        <v>12.25</v>
      </c>
      <c r="E171" s="309"/>
      <c r="F171" s="307"/>
      <c r="G171" s="308"/>
      <c r="I171" s="200"/>
    </row>
    <row r="172" spans="2:9" s="199" customFormat="1" ht="15">
      <c r="B172" s="190"/>
      <c r="C172" s="223" t="s">
        <v>152</v>
      </c>
      <c r="D172" s="224">
        <v>40.91</v>
      </c>
      <c r="E172" s="309"/>
      <c r="F172" s="307"/>
      <c r="G172" s="308"/>
      <c r="I172" s="200"/>
    </row>
    <row r="173" spans="2:9" s="199" customFormat="1" ht="15">
      <c r="B173" s="190"/>
      <c r="C173" s="223" t="s">
        <v>153</v>
      </c>
      <c r="D173" s="224">
        <v>9.4</v>
      </c>
      <c r="E173" s="309"/>
      <c r="F173" s="307"/>
      <c r="G173" s="308"/>
      <c r="I173" s="200"/>
    </row>
    <row r="174" spans="2:9" s="199" customFormat="1" ht="15">
      <c r="B174" s="190"/>
      <c r="C174" s="223" t="s">
        <v>154</v>
      </c>
      <c r="D174" s="224">
        <v>4.4</v>
      </c>
      <c r="E174" s="309"/>
      <c r="F174" s="307"/>
      <c r="G174" s="308"/>
      <c r="I174" s="200"/>
    </row>
    <row r="175" spans="2:9" s="199" customFormat="1" ht="15">
      <c r="B175" s="190"/>
      <c r="C175" s="223" t="s">
        <v>154</v>
      </c>
      <c r="D175" s="224">
        <v>4.4</v>
      </c>
      <c r="E175" s="309"/>
      <c r="F175" s="307"/>
      <c r="G175" s="308"/>
      <c r="I175" s="200"/>
    </row>
    <row r="176" spans="2:9" s="199" customFormat="1" ht="15">
      <c r="B176" s="190"/>
      <c r="C176" s="223" t="s">
        <v>155</v>
      </c>
      <c r="D176" s="224">
        <v>4.18</v>
      </c>
      <c r="E176" s="309"/>
      <c r="F176" s="307"/>
      <c r="G176" s="308"/>
      <c r="I176" s="200"/>
    </row>
    <row r="177" spans="2:9" s="199" customFormat="1" ht="15">
      <c r="B177" s="190"/>
      <c r="C177" s="223" t="s">
        <v>156</v>
      </c>
      <c r="D177" s="225">
        <v>5.92</v>
      </c>
      <c r="E177" s="309"/>
      <c r="F177" s="307"/>
      <c r="G177" s="308"/>
      <c r="I177" s="200"/>
    </row>
    <row r="178" spans="2:9" s="199" customFormat="1" ht="15">
      <c r="B178" s="190"/>
      <c r="C178" s="223" t="s">
        <v>157</v>
      </c>
      <c r="D178" s="224">
        <v>23.2</v>
      </c>
      <c r="E178" s="309"/>
      <c r="F178" s="307"/>
      <c r="G178" s="308"/>
      <c r="I178" s="200"/>
    </row>
    <row r="179" spans="2:9" s="199" customFormat="1" ht="15">
      <c r="B179" s="190"/>
      <c r="C179" s="223" t="s">
        <v>158</v>
      </c>
      <c r="D179" s="224">
        <v>28.57</v>
      </c>
      <c r="E179" s="220"/>
      <c r="F179" s="307"/>
      <c r="G179" s="308"/>
      <c r="I179" s="200"/>
    </row>
    <row r="180" spans="2:9" s="199" customFormat="1" ht="15">
      <c r="B180" s="190"/>
      <c r="C180" s="223" t="s">
        <v>159</v>
      </c>
      <c r="D180" s="224">
        <v>10.55</v>
      </c>
      <c r="E180" s="220"/>
      <c r="F180" s="307"/>
      <c r="G180" s="308"/>
      <c r="I180" s="200"/>
    </row>
    <row r="181" spans="2:9" s="199" customFormat="1" ht="15">
      <c r="B181" s="190"/>
      <c r="C181" s="227" t="s">
        <v>31</v>
      </c>
      <c r="D181" s="228">
        <f>SUM(D171:D180)</f>
        <v>143.78</v>
      </c>
      <c r="E181" s="309" t="s">
        <v>0</v>
      </c>
      <c r="F181" s="298"/>
      <c r="G181" s="299"/>
      <c r="I181" s="200"/>
    </row>
    <row r="182" spans="2:9" s="199" customFormat="1" ht="15">
      <c r="B182" s="190"/>
      <c r="C182" s="297"/>
      <c r="D182" s="298"/>
      <c r="E182" s="298"/>
      <c r="F182" s="298"/>
      <c r="G182" s="299"/>
      <c r="I182" s="200"/>
    </row>
    <row r="183" spans="2:9" s="199" customFormat="1" ht="15">
      <c r="B183" s="190"/>
      <c r="C183" s="297"/>
      <c r="D183" s="298"/>
      <c r="E183" s="298"/>
      <c r="F183" s="298"/>
      <c r="G183" s="299"/>
      <c r="I183" s="200"/>
    </row>
    <row r="184" spans="2:9" s="199" customFormat="1" ht="15">
      <c r="B184" s="190" t="s">
        <v>124</v>
      </c>
      <c r="C184" s="561" t="s">
        <v>214</v>
      </c>
      <c r="D184" s="562"/>
      <c r="E184" s="562"/>
      <c r="F184" s="562"/>
      <c r="G184" s="563"/>
      <c r="I184" s="200"/>
    </row>
    <row r="185" spans="2:9" s="199" customFormat="1" ht="15">
      <c r="B185" s="190"/>
      <c r="C185" s="223" t="s">
        <v>208</v>
      </c>
      <c r="D185" s="225">
        <f>(2+2+2.2+2.2)*3</f>
        <v>25.200000000000003</v>
      </c>
      <c r="E185" s="309"/>
      <c r="F185" s="309"/>
      <c r="G185" s="309"/>
      <c r="I185" s="200"/>
    </row>
    <row r="186" spans="2:9" s="199" customFormat="1" ht="15">
      <c r="B186" s="190"/>
      <c r="C186" s="223" t="s">
        <v>208</v>
      </c>
      <c r="D186" s="225">
        <f>(2+2+2.2+2.2)*3</f>
        <v>25.200000000000003</v>
      </c>
      <c r="E186" s="309"/>
      <c r="F186" s="309"/>
      <c r="G186" s="309"/>
      <c r="I186" s="200"/>
    </row>
    <row r="187" spans="1:9" s="199" customFormat="1" ht="15">
      <c r="A187" s="229"/>
      <c r="B187" s="230"/>
      <c r="C187" s="223" t="s">
        <v>209</v>
      </c>
      <c r="D187" s="225">
        <f>(2+2.3+1.1+1.41+1.39)*3</f>
        <v>24.6</v>
      </c>
      <c r="E187" s="225"/>
      <c r="F187" s="230"/>
      <c r="G187" s="230"/>
      <c r="H187" s="229"/>
      <c r="I187" s="200"/>
    </row>
    <row r="188" spans="1:9" s="199" customFormat="1" ht="15">
      <c r="A188" s="229"/>
      <c r="B188" s="230"/>
      <c r="C188" s="223" t="s">
        <v>210</v>
      </c>
      <c r="D188" s="225">
        <f>2.87*0.75</f>
        <v>2.1525</v>
      </c>
      <c r="E188" s="225"/>
      <c r="F188" s="230"/>
      <c r="G188" s="230"/>
      <c r="H188" s="229"/>
      <c r="I188" s="200"/>
    </row>
    <row r="189" spans="1:9" s="199" customFormat="1" ht="15">
      <c r="A189" s="229"/>
      <c r="B189" s="230"/>
      <c r="C189" s="231" t="s">
        <v>31</v>
      </c>
      <c r="D189" s="232">
        <f>SUM(D185:D188)</f>
        <v>77.1525</v>
      </c>
      <c r="E189" s="309" t="s">
        <v>0</v>
      </c>
      <c r="F189" s="230"/>
      <c r="G189" s="230"/>
      <c r="H189" s="229"/>
      <c r="I189" s="200"/>
    </row>
    <row r="190" spans="2:9" s="199" customFormat="1" ht="15">
      <c r="B190" s="207" t="s">
        <v>39</v>
      </c>
      <c r="C190" s="564" t="s">
        <v>18</v>
      </c>
      <c r="D190" s="565"/>
      <c r="E190" s="565"/>
      <c r="F190" s="565"/>
      <c r="G190" s="566"/>
      <c r="I190" s="200"/>
    </row>
    <row r="191" spans="2:9" s="199" customFormat="1" ht="15">
      <c r="B191" s="190" t="s">
        <v>40</v>
      </c>
      <c r="C191" s="561" t="s">
        <v>215</v>
      </c>
      <c r="D191" s="562"/>
      <c r="E191" s="562"/>
      <c r="F191" s="562"/>
      <c r="G191" s="563"/>
      <c r="I191" s="200"/>
    </row>
    <row r="192" spans="2:9" s="199" customFormat="1" ht="15">
      <c r="B192" s="190"/>
      <c r="C192" s="235" t="s">
        <v>216</v>
      </c>
      <c r="D192" s="228">
        <v>143.78</v>
      </c>
      <c r="E192" s="309" t="s">
        <v>0</v>
      </c>
      <c r="F192" s="298"/>
      <c r="G192" s="299"/>
      <c r="I192" s="200"/>
    </row>
    <row r="193" spans="2:9" s="199" customFormat="1" ht="15">
      <c r="B193" s="190"/>
      <c r="C193" s="297"/>
      <c r="D193" s="298"/>
      <c r="E193" s="298"/>
      <c r="F193" s="298"/>
      <c r="G193" s="299"/>
      <c r="I193" s="200"/>
    </row>
    <row r="194" spans="2:9" s="199" customFormat="1" ht="15">
      <c r="B194" s="190" t="s">
        <v>125</v>
      </c>
      <c r="C194" s="561" t="s">
        <v>217</v>
      </c>
      <c r="D194" s="562"/>
      <c r="E194" s="562"/>
      <c r="F194" s="562"/>
      <c r="G194" s="563"/>
      <c r="I194" s="200"/>
    </row>
    <row r="195" spans="2:9" s="199" customFormat="1" ht="15">
      <c r="B195" s="236"/>
      <c r="C195" s="235" t="s">
        <v>216</v>
      </c>
      <c r="D195" s="228">
        <v>143.78</v>
      </c>
      <c r="E195" s="309" t="s">
        <v>0</v>
      </c>
      <c r="F195" s="298"/>
      <c r="G195" s="299"/>
      <c r="I195" s="200"/>
    </row>
    <row r="196" spans="2:9" s="199" customFormat="1" ht="15">
      <c r="B196" s="236"/>
      <c r="C196" s="297"/>
      <c r="D196" s="298"/>
      <c r="E196" s="298"/>
      <c r="F196" s="298"/>
      <c r="G196" s="299"/>
      <c r="I196" s="200"/>
    </row>
    <row r="197" spans="2:9" s="199" customFormat="1" ht="15">
      <c r="B197" s="237" t="s">
        <v>126</v>
      </c>
      <c r="C197" s="297" t="s">
        <v>218</v>
      </c>
      <c r="D197" s="209"/>
      <c r="E197" s="209"/>
      <c r="F197" s="298"/>
      <c r="G197" s="299"/>
      <c r="I197" s="200"/>
    </row>
    <row r="198" spans="2:9" s="199" customFormat="1" ht="15" customHeight="1">
      <c r="B198" s="237"/>
      <c r="C198" s="238" t="s">
        <v>219</v>
      </c>
      <c r="D198" s="239" t="s">
        <v>220</v>
      </c>
      <c r="E198" s="240"/>
      <c r="F198" s="240"/>
      <c r="G198" s="241"/>
      <c r="I198" s="200"/>
    </row>
    <row r="199" spans="2:9" s="199" customFormat="1" ht="15" customHeight="1">
      <c r="B199" s="242"/>
      <c r="C199" s="243" t="s">
        <v>151</v>
      </c>
      <c r="D199" s="200">
        <v>14</v>
      </c>
      <c r="E199" s="239"/>
      <c r="F199" s="239"/>
      <c r="G199" s="244"/>
      <c r="I199" s="200"/>
    </row>
    <row r="200" spans="2:9" s="199" customFormat="1" ht="15" customHeight="1">
      <c r="B200" s="242"/>
      <c r="C200" s="243" t="s">
        <v>221</v>
      </c>
      <c r="D200" s="200">
        <v>33.74</v>
      </c>
      <c r="E200" s="239"/>
      <c r="F200" s="239"/>
      <c r="G200" s="244"/>
      <c r="I200" s="200"/>
    </row>
    <row r="201" spans="2:9" s="199" customFormat="1" ht="15" customHeight="1">
      <c r="B201" s="242"/>
      <c r="C201" s="243" t="s">
        <v>156</v>
      </c>
      <c r="D201" s="245">
        <v>10.37</v>
      </c>
      <c r="E201" s="239"/>
      <c r="F201" s="239"/>
      <c r="G201" s="244"/>
      <c r="I201" s="200"/>
    </row>
    <row r="202" spans="2:9" s="199" customFormat="1" ht="15" customHeight="1">
      <c r="B202" s="242"/>
      <c r="C202" s="243" t="s">
        <v>157</v>
      </c>
      <c r="D202" s="245">
        <v>20.27</v>
      </c>
      <c r="E202" s="239"/>
      <c r="F202" s="239"/>
      <c r="G202" s="244"/>
      <c r="I202" s="200"/>
    </row>
    <row r="203" spans="2:9" s="199" customFormat="1" ht="15" customHeight="1">
      <c r="B203" s="242"/>
      <c r="C203" s="243" t="s">
        <v>158</v>
      </c>
      <c r="D203" s="245">
        <v>22.4</v>
      </c>
      <c r="E203" s="239"/>
      <c r="F203" s="239"/>
      <c r="G203" s="244"/>
      <c r="I203" s="200"/>
    </row>
    <row r="204" spans="2:9" s="199" customFormat="1" ht="15" customHeight="1">
      <c r="B204" s="242"/>
      <c r="C204" s="243" t="s">
        <v>159</v>
      </c>
      <c r="D204" s="245">
        <v>12.58</v>
      </c>
      <c r="E204" s="239"/>
      <c r="F204" s="239"/>
      <c r="G204" s="244"/>
      <c r="I204" s="200"/>
    </row>
    <row r="205" spans="2:9" s="199" customFormat="1" ht="15" customHeight="1">
      <c r="B205" s="242"/>
      <c r="C205" s="246" t="s">
        <v>31</v>
      </c>
      <c r="D205" s="247">
        <f>SUM(D199:D204)</f>
        <v>113.36</v>
      </c>
      <c r="E205" s="239" t="s">
        <v>53</v>
      </c>
      <c r="F205" s="239"/>
      <c r="G205" s="244"/>
      <c r="I205" s="200"/>
    </row>
    <row r="206" spans="2:9" s="199" customFormat="1" ht="15" customHeight="1">
      <c r="B206" s="242"/>
      <c r="C206" s="239"/>
      <c r="D206" s="245"/>
      <c r="E206" s="239"/>
      <c r="F206" s="239"/>
      <c r="G206" s="244"/>
      <c r="I206" s="200"/>
    </row>
    <row r="207" spans="2:9" s="199" customFormat="1" ht="15">
      <c r="B207" s="207" t="s">
        <v>222</v>
      </c>
      <c r="C207" s="306" t="s">
        <v>22</v>
      </c>
      <c r="D207" s="209"/>
      <c r="E207" s="209"/>
      <c r="F207" s="298"/>
      <c r="G207" s="299"/>
      <c r="I207" s="200"/>
    </row>
    <row r="208" spans="2:9" s="199" customFormat="1" ht="27.75" customHeight="1">
      <c r="B208" s="249" t="s">
        <v>84</v>
      </c>
      <c r="C208" s="561" t="s">
        <v>337</v>
      </c>
      <c r="D208" s="562"/>
      <c r="E208" s="562"/>
      <c r="F208" s="562"/>
      <c r="G208" s="563"/>
      <c r="I208" s="200"/>
    </row>
    <row r="209" spans="2:9" s="199" customFormat="1" ht="27.75" customHeight="1">
      <c r="B209" s="249" t="s">
        <v>110</v>
      </c>
      <c r="C209" s="561" t="s">
        <v>338</v>
      </c>
      <c r="D209" s="562"/>
      <c r="E209" s="562"/>
      <c r="F209" s="562"/>
      <c r="G209" s="563"/>
      <c r="I209" s="200"/>
    </row>
    <row r="210" spans="2:9" s="199" customFormat="1" ht="18" customHeight="1">
      <c r="B210" s="249" t="s">
        <v>223</v>
      </c>
      <c r="C210" s="250" t="s">
        <v>339</v>
      </c>
      <c r="D210" s="209"/>
      <c r="E210" s="209"/>
      <c r="F210" s="251"/>
      <c r="G210" s="299"/>
      <c r="I210" s="200"/>
    </row>
    <row r="211" spans="2:9" s="199" customFormat="1" ht="18" customHeight="1">
      <c r="B211" s="249"/>
      <c r="C211" s="252" t="s">
        <v>31</v>
      </c>
      <c r="D211" s="253">
        <f>3.15*2.1</f>
        <v>6.615</v>
      </c>
      <c r="E211" s="253" t="s">
        <v>0</v>
      </c>
      <c r="F211" s="251"/>
      <c r="G211" s="299"/>
      <c r="I211" s="200"/>
    </row>
    <row r="212" spans="2:9" s="199" customFormat="1" ht="18" customHeight="1">
      <c r="B212" s="249"/>
      <c r="C212" s="250"/>
      <c r="D212" s="209"/>
      <c r="E212" s="209"/>
      <c r="F212" s="251"/>
      <c r="G212" s="299"/>
      <c r="I212" s="200"/>
    </row>
    <row r="213" spans="2:9" s="199" customFormat="1" ht="15">
      <c r="B213" s="190" t="s">
        <v>223</v>
      </c>
      <c r="C213" s="561" t="s">
        <v>224</v>
      </c>
      <c r="D213" s="562"/>
      <c r="E213" s="562"/>
      <c r="F213" s="562"/>
      <c r="G213" s="563"/>
      <c r="I213" s="200"/>
    </row>
    <row r="214" spans="2:9" s="199" customFormat="1" ht="15">
      <c r="B214" s="190"/>
      <c r="C214" s="225" t="s">
        <v>225</v>
      </c>
      <c r="D214" s="254" t="s">
        <v>226</v>
      </c>
      <c r="E214" s="254" t="s">
        <v>227</v>
      </c>
      <c r="F214" s="298"/>
      <c r="G214" s="299"/>
      <c r="I214" s="200"/>
    </row>
    <row r="215" spans="2:9" s="199" customFormat="1" ht="15">
      <c r="B215" s="190"/>
      <c r="C215" s="254" t="s">
        <v>228</v>
      </c>
      <c r="D215" s="254">
        <v>6</v>
      </c>
      <c r="E215" s="254">
        <f>1.5*0.5*6</f>
        <v>4.5</v>
      </c>
      <c r="F215" s="298"/>
      <c r="G215" s="299"/>
      <c r="I215" s="200"/>
    </row>
    <row r="216" spans="2:9" s="199" customFormat="1" ht="15">
      <c r="B216" s="190"/>
      <c r="C216" s="254" t="s">
        <v>229</v>
      </c>
      <c r="D216" s="254">
        <v>3</v>
      </c>
      <c r="E216" s="254">
        <f>(2.5*1.1*3)</f>
        <v>8.25</v>
      </c>
      <c r="F216" s="298"/>
      <c r="G216" s="299"/>
      <c r="I216" s="200"/>
    </row>
    <row r="217" spans="2:9" s="199" customFormat="1" ht="15">
      <c r="B217" s="190"/>
      <c r="C217" s="254" t="s">
        <v>230</v>
      </c>
      <c r="D217" s="254">
        <v>1</v>
      </c>
      <c r="E217" s="254">
        <f>(2*1.1)</f>
        <v>2.2</v>
      </c>
      <c r="F217" s="298"/>
      <c r="G217" s="299"/>
      <c r="I217" s="200"/>
    </row>
    <row r="218" spans="2:9" s="199" customFormat="1" ht="15">
      <c r="B218" s="190"/>
      <c r="C218" s="254" t="s">
        <v>231</v>
      </c>
      <c r="D218" s="254">
        <v>1</v>
      </c>
      <c r="E218" s="254">
        <f>(3.2*1)</f>
        <v>3.2</v>
      </c>
      <c r="F218" s="298"/>
      <c r="G218" s="299"/>
      <c r="I218" s="200"/>
    </row>
    <row r="219" spans="2:9" s="199" customFormat="1" ht="15">
      <c r="B219" s="190"/>
      <c r="C219" s="254" t="s">
        <v>232</v>
      </c>
      <c r="D219" s="254">
        <v>1</v>
      </c>
      <c r="E219" s="254">
        <f>(1.5*0.7)*2</f>
        <v>2.0999999999999996</v>
      </c>
      <c r="F219" s="298"/>
      <c r="G219" s="299"/>
      <c r="I219" s="200"/>
    </row>
    <row r="220" spans="2:9" s="199" customFormat="1" ht="15">
      <c r="B220" s="190"/>
      <c r="C220" s="252" t="s">
        <v>31</v>
      </c>
      <c r="D220" s="255"/>
      <c r="E220" s="256">
        <f>SUM(E215:E219)</f>
        <v>20.25</v>
      </c>
      <c r="F220" s="298" t="s">
        <v>0</v>
      </c>
      <c r="G220" s="299"/>
      <c r="I220" s="200"/>
    </row>
    <row r="221" spans="2:9" s="199" customFormat="1" ht="15">
      <c r="B221" s="190"/>
      <c r="C221" s="297"/>
      <c r="D221" s="298"/>
      <c r="E221" s="298"/>
      <c r="F221" s="298"/>
      <c r="G221" s="299"/>
      <c r="I221" s="200"/>
    </row>
    <row r="222" spans="2:9" s="199" customFormat="1" ht="17.25" customHeight="1">
      <c r="B222" s="207" t="s">
        <v>83</v>
      </c>
      <c r="C222" s="564" t="s">
        <v>25</v>
      </c>
      <c r="D222" s="565"/>
      <c r="E222" s="565"/>
      <c r="F222" s="565"/>
      <c r="G222" s="566"/>
      <c r="I222" s="200"/>
    </row>
    <row r="223" spans="2:9" s="199" customFormat="1" ht="15">
      <c r="B223" s="190" t="s">
        <v>41</v>
      </c>
      <c r="C223" s="571" t="s">
        <v>233</v>
      </c>
      <c r="D223" s="572"/>
      <c r="E223" s="572"/>
      <c r="F223" s="572"/>
      <c r="G223" s="573"/>
      <c r="H223" s="257"/>
      <c r="I223" s="200"/>
    </row>
    <row r="224" spans="2:9" s="199" customFormat="1" ht="15">
      <c r="B224" s="190"/>
      <c r="C224" s="205" t="s">
        <v>219</v>
      </c>
      <c r="D224" s="225" t="s">
        <v>234</v>
      </c>
      <c r="E224" s="258"/>
      <c r="F224" s="258"/>
      <c r="G224" s="258"/>
      <c r="H224" s="257"/>
      <c r="I224" s="200"/>
    </row>
    <row r="225" spans="2:9" s="199" customFormat="1" ht="15">
      <c r="B225" s="190"/>
      <c r="C225" s="223" t="s">
        <v>151</v>
      </c>
      <c r="D225" s="224">
        <v>12.25</v>
      </c>
      <c r="E225" s="309"/>
      <c r="F225" s="258"/>
      <c r="G225" s="258"/>
      <c r="H225" s="257"/>
      <c r="I225" s="200"/>
    </row>
    <row r="226" spans="2:9" s="199" customFormat="1" ht="15">
      <c r="B226" s="190"/>
      <c r="C226" s="223" t="s">
        <v>152</v>
      </c>
      <c r="D226" s="224">
        <v>40.91</v>
      </c>
      <c r="E226" s="309"/>
      <c r="F226" s="258"/>
      <c r="G226" s="258"/>
      <c r="H226" s="257"/>
      <c r="I226" s="200"/>
    </row>
    <row r="227" spans="2:9" s="199" customFormat="1" ht="15">
      <c r="B227" s="190"/>
      <c r="C227" s="223" t="s">
        <v>153</v>
      </c>
      <c r="D227" s="224">
        <v>9.4</v>
      </c>
      <c r="E227" s="309"/>
      <c r="F227" s="258"/>
      <c r="G227" s="258"/>
      <c r="H227" s="257"/>
      <c r="I227" s="200"/>
    </row>
    <row r="228" spans="2:9" s="199" customFormat="1" ht="15">
      <c r="B228" s="190"/>
      <c r="C228" s="223" t="s">
        <v>154</v>
      </c>
      <c r="D228" s="224">
        <v>4.4</v>
      </c>
      <c r="E228" s="309"/>
      <c r="F228" s="258"/>
      <c r="G228" s="258"/>
      <c r="H228" s="257"/>
      <c r="I228" s="200"/>
    </row>
    <row r="229" spans="2:9" s="199" customFormat="1" ht="15">
      <c r="B229" s="190"/>
      <c r="C229" s="223" t="s">
        <v>154</v>
      </c>
      <c r="D229" s="224">
        <v>4.4</v>
      </c>
      <c r="E229" s="309"/>
      <c r="F229" s="258"/>
      <c r="G229" s="258"/>
      <c r="H229" s="257"/>
      <c r="I229" s="200"/>
    </row>
    <row r="230" spans="2:9" s="199" customFormat="1" ht="15">
      <c r="B230" s="190"/>
      <c r="C230" s="223" t="s">
        <v>155</v>
      </c>
      <c r="D230" s="224">
        <v>4.18</v>
      </c>
      <c r="E230" s="309"/>
      <c r="F230" s="258"/>
      <c r="G230" s="258"/>
      <c r="H230" s="257"/>
      <c r="I230" s="200"/>
    </row>
    <row r="231" spans="2:9" s="199" customFormat="1" ht="15">
      <c r="B231" s="190"/>
      <c r="C231" s="223" t="s">
        <v>156</v>
      </c>
      <c r="D231" s="225">
        <v>5.92</v>
      </c>
      <c r="E231" s="309"/>
      <c r="F231" s="259"/>
      <c r="G231" s="258"/>
      <c r="H231" s="257"/>
      <c r="I231" s="200"/>
    </row>
    <row r="232" spans="2:9" s="199" customFormat="1" ht="15">
      <c r="B232" s="190"/>
      <c r="C232" s="223" t="s">
        <v>157</v>
      </c>
      <c r="D232" s="224">
        <v>23.2</v>
      </c>
      <c r="E232" s="309"/>
      <c r="F232" s="258"/>
      <c r="G232" s="258"/>
      <c r="H232" s="257"/>
      <c r="I232" s="200"/>
    </row>
    <row r="233" spans="2:9" s="199" customFormat="1" ht="15">
      <c r="B233" s="190"/>
      <c r="C233" s="223" t="s">
        <v>158</v>
      </c>
      <c r="D233" s="224">
        <v>28.57</v>
      </c>
      <c r="E233" s="220"/>
      <c r="F233" s="260"/>
      <c r="G233" s="260"/>
      <c r="H233" s="257"/>
      <c r="I233" s="200"/>
    </row>
    <row r="234" spans="2:9" s="199" customFormat="1" ht="15">
      <c r="B234" s="190"/>
      <c r="C234" s="223" t="s">
        <v>159</v>
      </c>
      <c r="D234" s="224">
        <v>10.55</v>
      </c>
      <c r="E234" s="220"/>
      <c r="F234" s="260"/>
      <c r="G234" s="260"/>
      <c r="H234" s="257"/>
      <c r="I234" s="200"/>
    </row>
    <row r="235" spans="2:9" s="199" customFormat="1" ht="15">
      <c r="B235" s="190"/>
      <c r="C235" s="227" t="s">
        <v>31</v>
      </c>
      <c r="D235" s="228">
        <f>SUM(D225:D234)</f>
        <v>143.78</v>
      </c>
      <c r="E235" s="309" t="s">
        <v>0</v>
      </c>
      <c r="F235" s="260"/>
      <c r="G235" s="260"/>
      <c r="H235" s="257"/>
      <c r="I235" s="200"/>
    </row>
    <row r="236" spans="2:9" s="199" customFormat="1" ht="15">
      <c r="B236" s="190"/>
      <c r="C236" s="300"/>
      <c r="D236" s="301"/>
      <c r="E236" s="301"/>
      <c r="F236" s="301"/>
      <c r="G236" s="302"/>
      <c r="H236" s="257"/>
      <c r="I236" s="200"/>
    </row>
    <row r="237" spans="2:9" s="199" customFormat="1" ht="15">
      <c r="B237" s="190"/>
      <c r="C237" s="300"/>
      <c r="D237" s="301"/>
      <c r="E237" s="301"/>
      <c r="F237" s="301"/>
      <c r="G237" s="302"/>
      <c r="H237" s="257"/>
      <c r="I237" s="200"/>
    </row>
    <row r="238" spans="2:9" s="199" customFormat="1" ht="15" customHeight="1">
      <c r="B238" s="190" t="s">
        <v>42</v>
      </c>
      <c r="C238" s="571" t="s">
        <v>235</v>
      </c>
      <c r="D238" s="572"/>
      <c r="E238" s="572"/>
      <c r="F238" s="572"/>
      <c r="G238" s="573"/>
      <c r="I238" s="200"/>
    </row>
    <row r="239" spans="2:9" s="199" customFormat="1" ht="15" customHeight="1">
      <c r="B239" s="190"/>
      <c r="C239" s="205" t="s">
        <v>219</v>
      </c>
      <c r="D239" s="200" t="s">
        <v>220</v>
      </c>
      <c r="E239" s="264" t="s">
        <v>236</v>
      </c>
      <c r="F239" s="264" t="s">
        <v>31</v>
      </c>
      <c r="G239" s="302"/>
      <c r="I239" s="200"/>
    </row>
    <row r="240" spans="2:9" s="199" customFormat="1" ht="15" customHeight="1">
      <c r="B240" s="190"/>
      <c r="C240" s="224" t="s">
        <v>151</v>
      </c>
      <c r="D240" s="225">
        <v>14</v>
      </c>
      <c r="E240" s="264"/>
      <c r="F240" s="264"/>
      <c r="G240" s="302"/>
      <c r="I240" s="200"/>
    </row>
    <row r="241" spans="2:9" s="199" customFormat="1" ht="15" customHeight="1">
      <c r="B241" s="190"/>
      <c r="C241" s="224" t="s">
        <v>221</v>
      </c>
      <c r="D241" s="225">
        <v>33.74</v>
      </c>
      <c r="E241" s="264"/>
      <c r="F241" s="264"/>
      <c r="G241" s="302"/>
      <c r="I241" s="200"/>
    </row>
    <row r="242" spans="2:9" s="199" customFormat="1" ht="15" customHeight="1">
      <c r="B242" s="190"/>
      <c r="C242" s="224" t="s">
        <v>156</v>
      </c>
      <c r="D242" s="245">
        <v>10.37</v>
      </c>
      <c r="E242" s="264"/>
      <c r="F242" s="264"/>
      <c r="G242" s="302"/>
      <c r="I242" s="200"/>
    </row>
    <row r="243" spans="2:9" s="199" customFormat="1" ht="15" customHeight="1">
      <c r="B243" s="190"/>
      <c r="C243" s="224" t="s">
        <v>157</v>
      </c>
      <c r="D243" s="245">
        <v>20.27</v>
      </c>
      <c r="E243" s="264"/>
      <c r="F243" s="264"/>
      <c r="G243" s="302"/>
      <c r="I243" s="200"/>
    </row>
    <row r="244" spans="2:9" s="199" customFormat="1" ht="15" customHeight="1">
      <c r="B244" s="190"/>
      <c r="C244" s="224" t="s">
        <v>158</v>
      </c>
      <c r="D244" s="245">
        <v>22.4</v>
      </c>
      <c r="E244" s="264"/>
      <c r="F244" s="264"/>
      <c r="G244" s="302"/>
      <c r="I244" s="200"/>
    </row>
    <row r="245" spans="2:9" s="199" customFormat="1" ht="15" customHeight="1">
      <c r="B245" s="190"/>
      <c r="C245" s="224" t="s">
        <v>159</v>
      </c>
      <c r="D245" s="245">
        <v>12.58</v>
      </c>
      <c r="E245" s="264"/>
      <c r="F245" s="264"/>
      <c r="G245" s="302"/>
      <c r="I245" s="200"/>
    </row>
    <row r="246" spans="2:9" s="199" customFormat="1" ht="15" customHeight="1">
      <c r="B246" s="190"/>
      <c r="C246" s="265" t="s">
        <v>237</v>
      </c>
      <c r="D246" s="266">
        <f>SUM(D240:D245)</f>
        <v>113.36</v>
      </c>
      <c r="E246" s="253">
        <v>3</v>
      </c>
      <c r="F246" s="267">
        <f>E246*D246</f>
        <v>340.08</v>
      </c>
      <c r="G246" s="302" t="s">
        <v>0</v>
      </c>
      <c r="I246" s="200"/>
    </row>
    <row r="247" spans="2:9" s="199" customFormat="1" ht="15" customHeight="1">
      <c r="B247" s="190"/>
      <c r="C247" s="300"/>
      <c r="D247" s="301"/>
      <c r="E247" s="301"/>
      <c r="F247" s="301"/>
      <c r="G247" s="302"/>
      <c r="I247" s="200"/>
    </row>
    <row r="248" spans="2:9" s="199" customFormat="1" ht="15">
      <c r="B248" s="190" t="s">
        <v>43</v>
      </c>
      <c r="C248" s="571" t="s">
        <v>238</v>
      </c>
      <c r="D248" s="572"/>
      <c r="E248" s="572"/>
      <c r="F248" s="572"/>
      <c r="G248" s="573"/>
      <c r="I248" s="200"/>
    </row>
    <row r="249" spans="2:9" s="199" customFormat="1" ht="15">
      <c r="B249" s="190"/>
      <c r="C249" s="300" t="s">
        <v>239</v>
      </c>
      <c r="D249" s="260" t="s">
        <v>240</v>
      </c>
      <c r="E249" s="260" t="s">
        <v>241</v>
      </c>
      <c r="F249" s="260"/>
      <c r="G249" s="302"/>
      <c r="I249" s="200"/>
    </row>
    <row r="250" spans="2:9" s="199" customFormat="1" ht="15">
      <c r="B250" s="190"/>
      <c r="C250" s="268" t="s">
        <v>242</v>
      </c>
      <c r="D250" s="258">
        <v>5</v>
      </c>
      <c r="E250" s="258">
        <f>(0.8*2.1*5*2.5)</f>
        <v>21</v>
      </c>
      <c r="F250" s="258"/>
      <c r="G250" s="302"/>
      <c r="I250" s="200"/>
    </row>
    <row r="251" spans="2:9" s="199" customFormat="1" ht="15">
      <c r="B251" s="190"/>
      <c r="C251" s="268" t="s">
        <v>243</v>
      </c>
      <c r="D251" s="258">
        <v>1</v>
      </c>
      <c r="E251" s="258">
        <f>1.2*2.1*2.5</f>
        <v>6.3</v>
      </c>
      <c r="F251" s="258"/>
      <c r="G251" s="302"/>
      <c r="I251" s="200"/>
    </row>
    <row r="252" spans="2:9" s="199" customFormat="1" ht="15">
      <c r="B252" s="190"/>
      <c r="C252" s="269" t="s">
        <v>31</v>
      </c>
      <c r="D252" s="256"/>
      <c r="E252" s="218">
        <f>SUM(E250:E251)</f>
        <v>27.3</v>
      </c>
      <c r="F252" s="258" t="s">
        <v>0</v>
      </c>
      <c r="G252" s="302"/>
      <c r="I252" s="200"/>
    </row>
    <row r="253" spans="2:9" s="199" customFormat="1" ht="15">
      <c r="B253" s="190"/>
      <c r="C253" s="268"/>
      <c r="D253" s="264"/>
      <c r="E253" s="264"/>
      <c r="F253" s="264"/>
      <c r="G253" s="302"/>
      <c r="I253" s="200"/>
    </row>
    <row r="254" spans="2:9" s="199" customFormat="1" ht="15">
      <c r="B254" s="270" t="s">
        <v>127</v>
      </c>
      <c r="C254" s="271" t="s">
        <v>244</v>
      </c>
      <c r="D254" s="264"/>
      <c r="E254" s="264"/>
      <c r="F254" s="264"/>
      <c r="G254" s="302"/>
      <c r="I254" s="200"/>
    </row>
    <row r="255" spans="2:9" s="199" customFormat="1" ht="15">
      <c r="B255" s="190"/>
      <c r="C255" s="268" t="s">
        <v>245</v>
      </c>
      <c r="D255" s="264"/>
      <c r="E255" s="264"/>
      <c r="F255" s="264"/>
      <c r="G255" s="302"/>
      <c r="I255" s="200"/>
    </row>
    <row r="256" spans="2:9" s="199" customFormat="1" ht="15">
      <c r="B256" s="190"/>
      <c r="C256" s="269" t="s">
        <v>31</v>
      </c>
      <c r="D256" s="267">
        <f>(30.63*0.8*2)</f>
        <v>49.008</v>
      </c>
      <c r="E256" s="258" t="s">
        <v>0</v>
      </c>
      <c r="F256" s="264"/>
      <c r="G256" s="302"/>
      <c r="I256" s="200"/>
    </row>
    <row r="257" spans="2:9" s="199" customFormat="1" ht="15">
      <c r="B257" s="190"/>
      <c r="C257" s="268"/>
      <c r="D257" s="264"/>
      <c r="E257" s="264"/>
      <c r="F257" s="264"/>
      <c r="G257" s="302"/>
      <c r="I257" s="200"/>
    </row>
    <row r="258" spans="2:9" s="199" customFormat="1" ht="15">
      <c r="B258" s="190" t="s">
        <v>246</v>
      </c>
      <c r="C258" s="571" t="s">
        <v>247</v>
      </c>
      <c r="D258" s="572"/>
      <c r="E258" s="572"/>
      <c r="F258" s="572"/>
      <c r="G258" s="573"/>
      <c r="I258" s="200"/>
    </row>
    <row r="259" spans="2:9" s="199" customFormat="1" ht="15">
      <c r="B259" s="190"/>
      <c r="C259" s="258" t="s">
        <v>248</v>
      </c>
      <c r="D259" s="258" t="s">
        <v>240</v>
      </c>
      <c r="E259" s="258"/>
      <c r="F259" s="258"/>
      <c r="G259" s="260"/>
      <c r="I259" s="200"/>
    </row>
    <row r="260" spans="2:9" s="199" customFormat="1" ht="15">
      <c r="B260" s="190"/>
      <c r="C260" s="258" t="s">
        <v>249</v>
      </c>
      <c r="D260" s="258">
        <f>(10.18+0.3+1.4)*5</f>
        <v>59.400000000000006</v>
      </c>
      <c r="E260" s="258" t="s">
        <v>0</v>
      </c>
      <c r="F260" s="258"/>
      <c r="G260" s="260"/>
      <c r="I260" s="200"/>
    </row>
    <row r="261" spans="2:9" s="199" customFormat="1" ht="15">
      <c r="B261" s="190"/>
      <c r="C261" s="258" t="s">
        <v>250</v>
      </c>
      <c r="D261" s="200">
        <f>((5.1*1.9)/2)*2</f>
        <v>9.69</v>
      </c>
      <c r="E261" s="258" t="s">
        <v>0</v>
      </c>
      <c r="F261" s="258"/>
      <c r="G261" s="260"/>
      <c r="I261" s="200"/>
    </row>
    <row r="262" spans="2:9" s="199" customFormat="1" ht="15">
      <c r="B262" s="190"/>
      <c r="C262" s="258" t="s">
        <v>251</v>
      </c>
      <c r="D262" s="258"/>
      <c r="E262" s="258"/>
      <c r="F262" s="258"/>
      <c r="G262" s="260"/>
      <c r="I262" s="200"/>
    </row>
    <row r="263" spans="2:9" s="199" customFormat="1" ht="15">
      <c r="B263" s="190"/>
      <c r="C263" s="258" t="s">
        <v>252</v>
      </c>
      <c r="D263" s="258">
        <f>((4.39*1.3)/2)+(8.78*3.1)</f>
        <v>30.0715</v>
      </c>
      <c r="E263" s="258" t="s">
        <v>0</v>
      </c>
      <c r="F263" s="258"/>
      <c r="G263" s="260"/>
      <c r="I263" s="200"/>
    </row>
    <row r="264" spans="2:9" s="199" customFormat="1" ht="15">
      <c r="B264" s="190"/>
      <c r="C264" s="258" t="s">
        <v>253</v>
      </c>
      <c r="D264" s="258"/>
      <c r="E264" s="258"/>
      <c r="F264" s="258"/>
      <c r="G264" s="260"/>
      <c r="I264" s="200"/>
    </row>
    <row r="265" spans="2:9" s="199" customFormat="1" ht="15">
      <c r="B265" s="190"/>
      <c r="C265" s="258" t="s">
        <v>254</v>
      </c>
      <c r="D265" s="258">
        <f>(18.06*2)*3.1</f>
        <v>111.972</v>
      </c>
      <c r="E265" s="258" t="s">
        <v>0</v>
      </c>
      <c r="F265" s="260"/>
      <c r="G265" s="260"/>
      <c r="I265" s="200"/>
    </row>
    <row r="266" spans="2:9" s="199" customFormat="1" ht="15">
      <c r="B266" s="190"/>
      <c r="C266" s="269" t="s">
        <v>31</v>
      </c>
      <c r="D266" s="218">
        <f>SUM(D260:D265)</f>
        <v>211.1335</v>
      </c>
      <c r="E266" s="258" t="s">
        <v>0</v>
      </c>
      <c r="F266" s="260"/>
      <c r="G266" s="260"/>
      <c r="I266" s="200"/>
    </row>
    <row r="267" spans="2:9" s="199" customFormat="1" ht="15">
      <c r="B267" s="190"/>
      <c r="C267" s="300"/>
      <c r="D267" s="301"/>
      <c r="E267" s="301"/>
      <c r="F267" s="301"/>
      <c r="G267" s="302"/>
      <c r="I267" s="200"/>
    </row>
    <row r="268" spans="2:9" s="199" customFormat="1" ht="15">
      <c r="B268" s="272" t="s">
        <v>255</v>
      </c>
      <c r="C268" s="571" t="s">
        <v>256</v>
      </c>
      <c r="D268" s="572"/>
      <c r="E268" s="572"/>
      <c r="F268" s="572"/>
      <c r="G268" s="573"/>
      <c r="I268" s="200"/>
    </row>
    <row r="269" spans="2:9" s="199" customFormat="1" ht="15">
      <c r="B269" s="272"/>
      <c r="C269" s="300" t="s">
        <v>257</v>
      </c>
      <c r="D269" s="264"/>
      <c r="E269" s="264"/>
      <c r="F269" s="264"/>
      <c r="G269" s="302"/>
      <c r="I269" s="200"/>
    </row>
    <row r="270" spans="2:9" s="199" customFormat="1" ht="15">
      <c r="B270" s="272"/>
      <c r="C270" s="300" t="s">
        <v>258</v>
      </c>
      <c r="D270" s="264">
        <f>(37.65*1*2)</f>
        <v>75.3</v>
      </c>
      <c r="E270" s="258" t="s">
        <v>0</v>
      </c>
      <c r="F270" s="264"/>
      <c r="G270" s="302"/>
      <c r="I270" s="200"/>
    </row>
    <row r="271" spans="2:9" s="199" customFormat="1" ht="15">
      <c r="B271" s="272"/>
      <c r="C271" s="300" t="s">
        <v>259</v>
      </c>
      <c r="D271" s="264"/>
      <c r="E271" s="264"/>
      <c r="F271" s="264"/>
      <c r="G271" s="302"/>
      <c r="I271" s="200"/>
    </row>
    <row r="272" spans="2:9" s="199" customFormat="1" ht="15">
      <c r="B272" s="272"/>
      <c r="C272" s="300" t="s">
        <v>260</v>
      </c>
      <c r="D272" s="264">
        <f>(30.2*2.1*2)</f>
        <v>126.84</v>
      </c>
      <c r="E272" s="258" t="s">
        <v>0</v>
      </c>
      <c r="F272" s="264"/>
      <c r="G272" s="302"/>
      <c r="I272" s="200"/>
    </row>
    <row r="273" spans="2:9" s="199" customFormat="1" ht="15">
      <c r="B273" s="272"/>
      <c r="C273" s="269" t="s">
        <v>31</v>
      </c>
      <c r="D273" s="218">
        <f>SUM(D270:D272)</f>
        <v>202.14</v>
      </c>
      <c r="E273" s="258" t="s">
        <v>0</v>
      </c>
      <c r="F273" s="264"/>
      <c r="G273" s="302"/>
      <c r="I273" s="200"/>
    </row>
    <row r="274" spans="2:9" s="199" customFormat="1" ht="15">
      <c r="B274" s="272"/>
      <c r="C274" s="300"/>
      <c r="D274" s="301"/>
      <c r="E274" s="301"/>
      <c r="F274" s="301"/>
      <c r="G274" s="302"/>
      <c r="I274" s="200"/>
    </row>
    <row r="275" spans="2:9" s="199" customFormat="1" ht="15">
      <c r="B275" s="207" t="s">
        <v>55</v>
      </c>
      <c r="C275" s="574" t="s">
        <v>26</v>
      </c>
      <c r="D275" s="575"/>
      <c r="E275" s="575"/>
      <c r="F275" s="575"/>
      <c r="G275" s="576"/>
      <c r="I275" s="200"/>
    </row>
    <row r="276" spans="2:9" s="199" customFormat="1" ht="15" customHeight="1">
      <c r="B276" s="190" t="s">
        <v>56</v>
      </c>
      <c r="C276" s="273" t="s">
        <v>261</v>
      </c>
      <c r="D276" s="274"/>
      <c r="E276" s="274"/>
      <c r="F276" s="274"/>
      <c r="G276" s="275"/>
      <c r="I276" s="200"/>
    </row>
    <row r="277" spans="2:9" s="199" customFormat="1" ht="15">
      <c r="B277" s="190"/>
      <c r="C277" s="276" t="s">
        <v>262</v>
      </c>
      <c r="D277" s="277">
        <v>37.45</v>
      </c>
      <c r="E277" s="258" t="s">
        <v>0</v>
      </c>
      <c r="F277" s="278"/>
      <c r="G277" s="279"/>
      <c r="I277" s="200"/>
    </row>
    <row r="278" spans="2:9" s="199" customFormat="1" ht="15">
      <c r="B278" s="190"/>
      <c r="C278" s="276" t="s">
        <v>263</v>
      </c>
      <c r="D278" s="277">
        <v>71.35</v>
      </c>
      <c r="E278" s="258" t="s">
        <v>0</v>
      </c>
      <c r="F278" s="278"/>
      <c r="G278" s="279"/>
      <c r="I278" s="200"/>
    </row>
    <row r="279" spans="2:9" s="199" customFormat="1" ht="15">
      <c r="B279" s="190"/>
      <c r="C279" s="269" t="s">
        <v>31</v>
      </c>
      <c r="D279" s="280">
        <f>SUM(D277:D278)</f>
        <v>108.8</v>
      </c>
      <c r="E279" s="258" t="s">
        <v>0</v>
      </c>
      <c r="F279" s="278"/>
      <c r="G279" s="279"/>
      <c r="I279" s="200"/>
    </row>
    <row r="280" spans="2:9" s="199" customFormat="1" ht="15">
      <c r="B280" s="190"/>
      <c r="C280" s="276"/>
      <c r="D280" s="278"/>
      <c r="E280" s="278"/>
      <c r="F280" s="278"/>
      <c r="G280" s="279"/>
      <c r="I280" s="200"/>
    </row>
    <row r="281" spans="2:9" s="199" customFormat="1" ht="15">
      <c r="B281" s="190" t="s">
        <v>128</v>
      </c>
      <c r="C281" s="567" t="s">
        <v>340</v>
      </c>
      <c r="D281" s="568"/>
      <c r="E281" s="568"/>
      <c r="F281" s="568"/>
      <c r="G281" s="569"/>
      <c r="I281" s="200"/>
    </row>
    <row r="282" spans="2:9" s="199" customFormat="1" ht="15">
      <c r="B282" s="190"/>
      <c r="C282" s="303"/>
      <c r="D282" s="304"/>
      <c r="E282" s="304"/>
      <c r="F282" s="304"/>
      <c r="G282" s="305"/>
      <c r="I282" s="200"/>
    </row>
    <row r="283" spans="2:9" s="199" customFormat="1" ht="16.5" customHeight="1">
      <c r="B283" s="190" t="s">
        <v>129</v>
      </c>
      <c r="C283" s="561" t="s">
        <v>341</v>
      </c>
      <c r="D283" s="562"/>
      <c r="E283" s="562"/>
      <c r="F283" s="562"/>
      <c r="G283" s="563"/>
      <c r="I283" s="200"/>
    </row>
    <row r="284" spans="2:9" s="199" customFormat="1" ht="16.5" customHeight="1">
      <c r="B284" s="190"/>
      <c r="C284" s="297"/>
      <c r="D284" s="298"/>
      <c r="E284" s="298"/>
      <c r="F284" s="298"/>
      <c r="G284" s="299"/>
      <c r="I284" s="200"/>
    </row>
    <row r="285" spans="2:9" s="199" customFormat="1" ht="15">
      <c r="B285" s="190" t="s">
        <v>130</v>
      </c>
      <c r="C285" s="561" t="s">
        <v>342</v>
      </c>
      <c r="D285" s="562"/>
      <c r="E285" s="562"/>
      <c r="F285" s="562"/>
      <c r="G285" s="563"/>
      <c r="I285" s="200"/>
    </row>
    <row r="286" spans="2:9" s="199" customFormat="1" ht="15">
      <c r="B286" s="190"/>
      <c r="C286" s="297"/>
      <c r="D286" s="298"/>
      <c r="E286" s="298"/>
      <c r="F286" s="298"/>
      <c r="G286" s="299"/>
      <c r="I286" s="200"/>
    </row>
    <row r="287" spans="2:9" s="199" customFormat="1" ht="15">
      <c r="B287" s="190" t="s">
        <v>264</v>
      </c>
      <c r="C287" s="561" t="s">
        <v>343</v>
      </c>
      <c r="D287" s="562"/>
      <c r="E287" s="562"/>
      <c r="F287" s="562"/>
      <c r="G287" s="563"/>
      <c r="I287" s="200"/>
    </row>
    <row r="288" spans="2:9" s="199" customFormat="1" ht="15">
      <c r="B288" s="190"/>
      <c r="C288" s="297"/>
      <c r="D288" s="298"/>
      <c r="E288" s="298"/>
      <c r="F288" s="298"/>
      <c r="G288" s="299"/>
      <c r="I288" s="200"/>
    </row>
    <row r="289" spans="2:9" s="199" customFormat="1" ht="15">
      <c r="B289" s="190" t="s">
        <v>265</v>
      </c>
      <c r="C289" s="577" t="s">
        <v>344</v>
      </c>
      <c r="D289" s="578"/>
      <c r="E289" s="578"/>
      <c r="F289" s="578"/>
      <c r="G289" s="579"/>
      <c r="I289" s="200"/>
    </row>
    <row r="290" spans="2:9" s="186" customFormat="1" ht="15" hidden="1">
      <c r="B290" s="187" t="s">
        <v>264</v>
      </c>
      <c r="C290" s="580" t="s">
        <v>345</v>
      </c>
      <c r="D290" s="581"/>
      <c r="E290" s="581"/>
      <c r="F290" s="581"/>
      <c r="G290" s="582"/>
      <c r="I290" s="188"/>
    </row>
    <row r="291" spans="2:9" s="186" customFormat="1" ht="15" hidden="1">
      <c r="B291" s="187" t="s">
        <v>266</v>
      </c>
      <c r="C291" s="580" t="s">
        <v>346</v>
      </c>
      <c r="D291" s="581"/>
      <c r="E291" s="581"/>
      <c r="F291" s="581"/>
      <c r="G291" s="582"/>
      <c r="I291" s="188"/>
    </row>
    <row r="292" spans="2:9" s="189" customFormat="1" ht="15">
      <c r="B292" s="190"/>
      <c r="C292" s="294"/>
      <c r="D292" s="295"/>
      <c r="E292" s="295"/>
      <c r="F292" s="295"/>
      <c r="G292" s="296"/>
      <c r="I292" s="194"/>
    </row>
    <row r="293" spans="2:9" s="199" customFormat="1" ht="15">
      <c r="B293" s="190" t="s">
        <v>267</v>
      </c>
      <c r="C293" s="577" t="s">
        <v>347</v>
      </c>
      <c r="D293" s="578"/>
      <c r="E293" s="578"/>
      <c r="F293" s="578"/>
      <c r="G293" s="579"/>
      <c r="I293" s="200"/>
    </row>
    <row r="294" spans="2:9" s="199" customFormat="1" ht="15">
      <c r="B294" s="190"/>
      <c r="C294" s="294"/>
      <c r="D294" s="295"/>
      <c r="E294" s="295"/>
      <c r="F294" s="295"/>
      <c r="G294" s="296"/>
      <c r="I294" s="200"/>
    </row>
    <row r="295" spans="2:9" s="199" customFormat="1" ht="15">
      <c r="B295" s="190" t="s">
        <v>268</v>
      </c>
      <c r="C295" s="577" t="s">
        <v>348</v>
      </c>
      <c r="D295" s="578"/>
      <c r="E295" s="578"/>
      <c r="F295" s="578"/>
      <c r="G295" s="579"/>
      <c r="I295" s="200"/>
    </row>
    <row r="296" spans="2:9" s="199" customFormat="1" ht="15">
      <c r="B296" s="190"/>
      <c r="C296" s="294"/>
      <c r="D296" s="295"/>
      <c r="E296" s="295"/>
      <c r="F296" s="295"/>
      <c r="G296" s="296"/>
      <c r="I296" s="200"/>
    </row>
    <row r="297" spans="2:9" s="199" customFormat="1" ht="15">
      <c r="B297" s="190" t="s">
        <v>269</v>
      </c>
      <c r="C297" s="577" t="s">
        <v>270</v>
      </c>
      <c r="D297" s="578"/>
      <c r="E297" s="578"/>
      <c r="F297" s="578"/>
      <c r="G297" s="579"/>
      <c r="I297" s="200"/>
    </row>
    <row r="298" spans="4:9" s="199" customFormat="1" ht="15">
      <c r="D298" s="200"/>
      <c r="E298" s="200"/>
      <c r="I298" s="200"/>
    </row>
    <row r="299" spans="4:9" s="199" customFormat="1" ht="15">
      <c r="D299" s="200"/>
      <c r="E299" s="200"/>
      <c r="I299" s="200"/>
    </row>
    <row r="300" spans="1:8" ht="15">
      <c r="A300" s="139"/>
      <c r="B300" s="585"/>
      <c r="C300" s="585"/>
      <c r="H300" s="139"/>
    </row>
    <row r="301" spans="1:8" ht="15">
      <c r="A301" s="139"/>
      <c r="B301" s="585"/>
      <c r="C301" s="585"/>
      <c r="H301" s="139"/>
    </row>
    <row r="302" spans="1:8" ht="15">
      <c r="A302" s="139"/>
      <c r="B302" s="195"/>
      <c r="C302" s="195"/>
      <c r="H302" s="139"/>
    </row>
    <row r="303" spans="1:8" ht="15">
      <c r="A303" s="139"/>
      <c r="B303" s="586"/>
      <c r="C303" s="586"/>
      <c r="H303" s="139"/>
    </row>
    <row r="304" spans="1:3" ht="15">
      <c r="A304" s="139"/>
      <c r="B304" s="583"/>
      <c r="C304" s="583"/>
    </row>
    <row r="305" spans="1:3" ht="15">
      <c r="A305" s="139"/>
      <c r="B305" s="584"/>
      <c r="C305" s="584"/>
    </row>
  </sheetData>
  <sheetProtection/>
  <mergeCells count="97">
    <mergeCell ref="C297:G297"/>
    <mergeCell ref="B300:C300"/>
    <mergeCell ref="B301:C301"/>
    <mergeCell ref="B303:C303"/>
    <mergeCell ref="B304:C304"/>
    <mergeCell ref="B305:C305"/>
    <mergeCell ref="C287:G287"/>
    <mergeCell ref="C289:G289"/>
    <mergeCell ref="C290:G290"/>
    <mergeCell ref="C291:G291"/>
    <mergeCell ref="C293:G293"/>
    <mergeCell ref="C295:G295"/>
    <mergeCell ref="C258:G258"/>
    <mergeCell ref="C268:G268"/>
    <mergeCell ref="C275:G275"/>
    <mergeCell ref="C281:G281"/>
    <mergeCell ref="C283:G283"/>
    <mergeCell ref="C285:G285"/>
    <mergeCell ref="C209:G209"/>
    <mergeCell ref="C213:G213"/>
    <mergeCell ref="C222:G222"/>
    <mergeCell ref="C223:G223"/>
    <mergeCell ref="C238:G238"/>
    <mergeCell ref="C248:G248"/>
    <mergeCell ref="C170:G170"/>
    <mergeCell ref="C184:G184"/>
    <mergeCell ref="C190:G190"/>
    <mergeCell ref="C191:G191"/>
    <mergeCell ref="C194:G194"/>
    <mergeCell ref="C208:G208"/>
    <mergeCell ref="C141:G141"/>
    <mergeCell ref="C143:G143"/>
    <mergeCell ref="C144:G144"/>
    <mergeCell ref="C147:G147"/>
    <mergeCell ref="C160:G160"/>
    <mergeCell ref="C166:G166"/>
    <mergeCell ref="C135:G135"/>
    <mergeCell ref="C136:G136"/>
    <mergeCell ref="C137:G137"/>
    <mergeCell ref="C138:G138"/>
    <mergeCell ref="C139:G139"/>
    <mergeCell ref="C140:G140"/>
    <mergeCell ref="C129:G129"/>
    <mergeCell ref="C130:G130"/>
    <mergeCell ref="C131:G131"/>
    <mergeCell ref="C132:G132"/>
    <mergeCell ref="C133:G133"/>
    <mergeCell ref="C134:G134"/>
    <mergeCell ref="C122:G122"/>
    <mergeCell ref="C124:G124"/>
    <mergeCell ref="C125:G125"/>
    <mergeCell ref="C126:G126"/>
    <mergeCell ref="C127:G127"/>
    <mergeCell ref="C128:G128"/>
    <mergeCell ref="C115:G115"/>
    <mergeCell ref="C116:G116"/>
    <mergeCell ref="C117:G117"/>
    <mergeCell ref="C119:G119"/>
    <mergeCell ref="C120:G120"/>
    <mergeCell ref="C121:G121"/>
    <mergeCell ref="C109:G109"/>
    <mergeCell ref="C110:G110"/>
    <mergeCell ref="C111:G111"/>
    <mergeCell ref="C112:G112"/>
    <mergeCell ref="C113:G113"/>
    <mergeCell ref="C114:G114"/>
    <mergeCell ref="C103:G103"/>
    <mergeCell ref="C104:G104"/>
    <mergeCell ref="C105:G105"/>
    <mergeCell ref="C106:G106"/>
    <mergeCell ref="C107:G107"/>
    <mergeCell ref="C108:G108"/>
    <mergeCell ref="C96:G96"/>
    <mergeCell ref="C97:G97"/>
    <mergeCell ref="C98:G98"/>
    <mergeCell ref="C99:G99"/>
    <mergeCell ref="C101:G101"/>
    <mergeCell ref="C102:G102"/>
    <mergeCell ref="C56:G56"/>
    <mergeCell ref="C60:G60"/>
    <mergeCell ref="C86:G86"/>
    <mergeCell ref="C92:G92"/>
    <mergeCell ref="C93:G93"/>
    <mergeCell ref="C95:G95"/>
    <mergeCell ref="B7:E7"/>
    <mergeCell ref="F7:G7"/>
    <mergeCell ref="B8:E8"/>
    <mergeCell ref="F8:G8"/>
    <mergeCell ref="C9:G9"/>
    <mergeCell ref="C14:G14"/>
    <mergeCell ref="B2:C4"/>
    <mergeCell ref="D2:G2"/>
    <mergeCell ref="D3:G3"/>
    <mergeCell ref="D4:G4"/>
    <mergeCell ref="B5:G5"/>
    <mergeCell ref="B6:E6"/>
    <mergeCell ref="F6:G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usuario</cp:lastModifiedBy>
  <cp:lastPrinted>2016-04-15T12:28:26Z</cp:lastPrinted>
  <dcterms:created xsi:type="dcterms:W3CDTF">2008-07-14T14:43:26Z</dcterms:created>
  <dcterms:modified xsi:type="dcterms:W3CDTF">2019-04-25T15:03:17Z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