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565" yWindow="1620" windowWidth="11685" windowHeight="6105" tabRatio="784" activeTab="1"/>
  </bookViews>
  <sheets>
    <sheet name="Planila Orçamentária" sheetId="16" r:id="rId1"/>
    <sheet name="Cronograma" sheetId="25" r:id="rId2"/>
    <sheet name="Memorial de Cálculo" sheetId="26" r:id="rId3"/>
    <sheet name="Composições de Custo" sheetId="24" r:id="rId4"/>
    <sheet name="BDI" sheetId="23" r:id="rId5"/>
  </sheets>
  <externalReferences>
    <externalReference r:id="rId6"/>
    <externalReference r:id="rId7"/>
  </externalReferences>
  <definedNames>
    <definedName name="_xlnm.Print_Area" localSheetId="4">BDI!$B$1:$O$40</definedName>
    <definedName name="_xlnm.Print_Area" localSheetId="3">'Composições de Custo'!$B$2:$J$632</definedName>
    <definedName name="_xlnm.Print_Area" localSheetId="1">Cronograma!$B$2:$H$32</definedName>
    <definedName name="_xlnm.Print_Area" localSheetId="2">'Memorial de Cálculo'!$C$17:$N$118</definedName>
    <definedName name="_xlnm.Print_Area" localSheetId="0">'Planila Orçamentária'!$B$2:$K$59</definedName>
    <definedName name="_xlnm.Print_Titles" localSheetId="3">'Composições de Custo'!$2:$14</definedName>
    <definedName name="_xlnm.Print_Titles" localSheetId="2">'Memorial de Cálculo'!$24:$24</definedName>
    <definedName name="_xlnm.Print_Titles" localSheetId="0">'Planila Orçamentária'!$11:$12</definedName>
  </definedNames>
  <calcPr calcId="152511"/>
</workbook>
</file>

<file path=xl/calcChain.xml><?xml version="1.0" encoding="utf-8"?>
<calcChain xmlns="http://schemas.openxmlformats.org/spreadsheetml/2006/main">
  <c r="N55" i="26" l="1"/>
  <c r="K60" i="26"/>
  <c r="N60" i="26" s="1"/>
  <c r="C53" i="26" l="1"/>
  <c r="B22" i="25"/>
  <c r="B13" i="25"/>
  <c r="C30" i="25"/>
  <c r="C28" i="25"/>
  <c r="C20" i="25"/>
  <c r="C26" i="25"/>
  <c r="C25" i="25"/>
  <c r="C24" i="25"/>
  <c r="C23" i="25"/>
  <c r="B26" i="25"/>
  <c r="B25" i="25"/>
  <c r="B24" i="25"/>
  <c r="B23" i="25"/>
  <c r="C117" i="26"/>
  <c r="C32" i="25" l="1"/>
  <c r="C110" i="26"/>
  <c r="C109" i="26"/>
  <c r="C107" i="26"/>
  <c r="C106" i="26"/>
  <c r="C102" i="26"/>
  <c r="C99" i="26"/>
  <c r="C95" i="26"/>
  <c r="C91" i="26"/>
  <c r="C88" i="26"/>
  <c r="C84" i="26"/>
  <c r="C81" i="26"/>
  <c r="C78" i="26"/>
  <c r="C75" i="26"/>
  <c r="C71" i="26"/>
  <c r="C70" i="26"/>
  <c r="C54" i="26"/>
  <c r="C65" i="26"/>
  <c r="G32" i="16" s="1"/>
  <c r="J32" i="16" s="1"/>
  <c r="C62" i="26"/>
  <c r="C55" i="26"/>
  <c r="I47" i="16"/>
  <c r="G47" i="16"/>
  <c r="J47" i="16" s="1"/>
  <c r="J46" i="16" s="1"/>
  <c r="E26" i="25" s="1"/>
  <c r="G26" i="25" s="1"/>
  <c r="H26" i="25" s="1"/>
  <c r="I45" i="16"/>
  <c r="G45" i="16"/>
  <c r="J45" i="16" s="1"/>
  <c r="J44" i="16" s="1"/>
  <c r="E25" i="25" s="1"/>
  <c r="G25" i="25" s="1"/>
  <c r="H25" i="25" s="1"/>
  <c r="I43" i="16"/>
  <c r="G43" i="16"/>
  <c r="J43" i="16" s="1"/>
  <c r="I42" i="16"/>
  <c r="G42" i="16"/>
  <c r="J42" i="16" s="1"/>
  <c r="I41" i="16"/>
  <c r="G41" i="16"/>
  <c r="J41" i="16" s="1"/>
  <c r="I40" i="16"/>
  <c r="J40" i="16" s="1"/>
  <c r="G40" i="16"/>
  <c r="I39" i="16"/>
  <c r="G39" i="16"/>
  <c r="J39" i="16" s="1"/>
  <c r="I38" i="16"/>
  <c r="G38" i="16"/>
  <c r="J38" i="16" s="1"/>
  <c r="I37" i="16"/>
  <c r="G37" i="16"/>
  <c r="J37" i="16" s="1"/>
  <c r="I36" i="16"/>
  <c r="G36" i="16"/>
  <c r="I35" i="16"/>
  <c r="G35" i="16"/>
  <c r="J35" i="16" s="1"/>
  <c r="I34" i="16"/>
  <c r="G34" i="16"/>
  <c r="J34" i="16" s="1"/>
  <c r="I32" i="16"/>
  <c r="I31" i="16"/>
  <c r="I30" i="16"/>
  <c r="N112" i="26"/>
  <c r="N111" i="26"/>
  <c r="N110" i="26"/>
  <c r="N107" i="26"/>
  <c r="N104" i="26"/>
  <c r="N103" i="26"/>
  <c r="N102" i="26"/>
  <c r="N101" i="26"/>
  <c r="N100" i="26"/>
  <c r="N99" i="26" s="1"/>
  <c r="N97" i="26"/>
  <c r="N95" i="26" s="1"/>
  <c r="N96" i="26"/>
  <c r="N93" i="26"/>
  <c r="N92" i="26"/>
  <c r="N91" i="26" s="1"/>
  <c r="N89" i="26"/>
  <c r="N88" i="26" s="1"/>
  <c r="N85" i="26"/>
  <c r="N84" i="26" s="1"/>
  <c r="N82" i="26"/>
  <c r="N81" i="26" s="1"/>
  <c r="N79" i="26"/>
  <c r="N78" i="26"/>
  <c r="H76" i="26"/>
  <c r="N76" i="26" s="1"/>
  <c r="N75" i="26" s="1"/>
  <c r="H73" i="26"/>
  <c r="N73" i="26" s="1"/>
  <c r="H72" i="26"/>
  <c r="N72" i="26" s="1"/>
  <c r="N71" i="26" s="1"/>
  <c r="K66" i="26"/>
  <c r="N66" i="26" s="1"/>
  <c r="N65" i="26" s="1"/>
  <c r="N63" i="26"/>
  <c r="N62" i="26" s="1"/>
  <c r="N59" i="26"/>
  <c r="K59" i="26"/>
  <c r="K58" i="26"/>
  <c r="N58" i="26" s="1"/>
  <c r="K57" i="26"/>
  <c r="N57" i="26" s="1"/>
  <c r="K56" i="26"/>
  <c r="N56" i="26" s="1"/>
  <c r="G31" i="16" l="1"/>
  <c r="J31" i="16" s="1"/>
  <c r="J36" i="16"/>
  <c r="J33" i="16" s="1"/>
  <c r="E24" i="25" s="1"/>
  <c r="G24" i="25" s="1"/>
  <c r="H24" i="25" s="1"/>
  <c r="G30" i="16"/>
  <c r="J30" i="16" s="1"/>
  <c r="J29" i="16" l="1"/>
  <c r="E23" i="25" s="1"/>
  <c r="J48" i="16" l="1"/>
  <c r="K46" i="16" s="1"/>
  <c r="E28" i="25"/>
  <c r="E30" i="25" s="1"/>
  <c r="G23" i="25"/>
  <c r="J50" i="16"/>
  <c r="K44" i="16"/>
  <c r="K29" i="16"/>
  <c r="B52" i="16"/>
  <c r="K33" i="16" l="1"/>
  <c r="H23" i="25"/>
  <c r="G28" i="25"/>
  <c r="G30" i="25" s="1"/>
  <c r="H30" i="25" s="1"/>
  <c r="K48" i="16"/>
  <c r="K50" i="16" s="1"/>
  <c r="J24" i="16" l="1"/>
  <c r="G25" i="16"/>
  <c r="K49" i="26"/>
  <c r="K35" i="26"/>
  <c r="K32" i="26"/>
  <c r="K28" i="26"/>
  <c r="C18" i="25" l="1"/>
  <c r="C17" i="25"/>
  <c r="C16" i="25"/>
  <c r="C15" i="25"/>
  <c r="B18" i="25"/>
  <c r="B17" i="25"/>
  <c r="B16" i="25"/>
  <c r="B15" i="25"/>
  <c r="C47" i="26"/>
  <c r="C43" i="26"/>
  <c r="C40" i="26"/>
  <c r="N45" i="26" l="1"/>
  <c r="N46" i="26" s="1"/>
  <c r="N42" i="26"/>
  <c r="N35" i="26"/>
  <c r="N32" i="26"/>
  <c r="N28" i="26"/>
  <c r="N29" i="26" s="1"/>
  <c r="C45" i="26"/>
  <c r="I23" i="16" l="1"/>
  <c r="J23" i="16" s="1"/>
  <c r="J22" i="16" s="1"/>
  <c r="E17" i="25" l="1"/>
  <c r="I21" i="16"/>
  <c r="J21" i="16" s="1"/>
  <c r="J20" i="16" s="1"/>
  <c r="I19" i="16"/>
  <c r="J19" i="16" s="1"/>
  <c r="I18" i="16"/>
  <c r="G18" i="16"/>
  <c r="G15" i="16"/>
  <c r="G17" i="25" l="1"/>
  <c r="H17" i="25" s="1"/>
  <c r="J18" i="16"/>
  <c r="I17" i="16"/>
  <c r="G17" i="16"/>
  <c r="J17" i="16" l="1"/>
  <c r="J16" i="16" s="1"/>
  <c r="E15" i="25" s="1"/>
  <c r="I15" i="16"/>
  <c r="J15" i="16" s="1"/>
  <c r="D8" i="25" l="1"/>
  <c r="C41" i="26" l="1"/>
  <c r="N49" i="26" l="1"/>
  <c r="C14" i="25" l="1"/>
  <c r="B14" i="25"/>
  <c r="C27" i="26" l="1"/>
  <c r="N38" i="26" l="1"/>
  <c r="N39" i="26" l="1"/>
  <c r="I173" i="24" l="1"/>
  <c r="I174" i="24"/>
  <c r="I175" i="24"/>
  <c r="I176" i="24"/>
  <c r="I177" i="24"/>
  <c r="I178" i="24"/>
  <c r="I179" i="24"/>
  <c r="I180" i="24"/>
  <c r="I181" i="24"/>
  <c r="I165" i="24"/>
  <c r="I166" i="24"/>
  <c r="I167" i="24"/>
  <c r="I168" i="24"/>
  <c r="I169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34" i="24"/>
  <c r="I135" i="24"/>
  <c r="I136" i="24"/>
  <c r="I137" i="24"/>
  <c r="I122" i="24"/>
  <c r="I121" i="24"/>
  <c r="I118" i="24"/>
  <c r="I117" i="24"/>
  <c r="I196" i="24"/>
  <c r="I193" i="24"/>
  <c r="I192" i="24"/>
  <c r="I172" i="24"/>
  <c r="I140" i="24"/>
  <c r="I133" i="24"/>
  <c r="I170" i="24" l="1"/>
  <c r="I194" i="24"/>
  <c r="I182" i="24"/>
  <c r="I197" i="24"/>
  <c r="I155" i="24"/>
  <c r="I138" i="24"/>
  <c r="I123" i="24"/>
  <c r="I119" i="24"/>
  <c r="C37" i="26"/>
  <c r="C34" i="26"/>
  <c r="C31" i="26"/>
  <c r="G212" i="24"/>
  <c r="I212" i="24" s="1"/>
  <c r="I211" i="24"/>
  <c r="I208" i="24"/>
  <c r="I207" i="24"/>
  <c r="N36" i="26" l="1"/>
  <c r="I200" i="24"/>
  <c r="D188" i="24" s="1"/>
  <c r="I185" i="24"/>
  <c r="D161" i="24" s="1"/>
  <c r="I158" i="24"/>
  <c r="D129" i="24" s="1"/>
  <c r="I126" i="24"/>
  <c r="D113" i="24" s="1"/>
  <c r="I213" i="24"/>
  <c r="I209" i="24"/>
  <c r="I216" i="24" l="1"/>
  <c r="D203" i="24" s="1"/>
  <c r="I106" i="24" l="1"/>
  <c r="I107" i="24" s="1"/>
  <c r="I103" i="24"/>
  <c r="I104" i="24" l="1"/>
  <c r="I110" i="24" s="1"/>
  <c r="G92" i="24"/>
  <c r="I92" i="24" s="1"/>
  <c r="G91" i="24"/>
  <c r="I91" i="24" s="1"/>
  <c r="I90" i="24"/>
  <c r="I87" i="24"/>
  <c r="I86" i="24"/>
  <c r="G75" i="24"/>
  <c r="I75" i="24" s="1"/>
  <c r="I74" i="24"/>
  <c r="I71" i="24"/>
  <c r="I70" i="24"/>
  <c r="G59" i="24"/>
  <c r="I59" i="24" s="1"/>
  <c r="I58" i="24"/>
  <c r="I55" i="24"/>
  <c r="I54" i="24"/>
  <c r="G43" i="24"/>
  <c r="I43" i="24" s="1"/>
  <c r="I42" i="24"/>
  <c r="I39" i="24"/>
  <c r="I38" i="24"/>
  <c r="G25" i="24"/>
  <c r="I25" i="24" s="1"/>
  <c r="I93" i="24" l="1"/>
  <c r="I88" i="24"/>
  <c r="I76" i="24"/>
  <c r="I72" i="24"/>
  <c r="I60" i="24"/>
  <c r="I56" i="24"/>
  <c r="I96" i="24" l="1"/>
  <c r="D82" i="24" s="1"/>
  <c r="I79" i="24"/>
  <c r="D66" i="24" s="1"/>
  <c r="I63" i="24"/>
  <c r="D50" i="24" s="1"/>
  <c r="C48" i="26" l="1"/>
  <c r="N51" i="26" l="1"/>
  <c r="N33" i="26"/>
  <c r="I25" i="16" l="1"/>
  <c r="C30" i="26" l="1"/>
  <c r="C26" i="26"/>
  <c r="C25" i="26"/>
  <c r="J25" i="16" l="1"/>
  <c r="E18" i="25" l="1"/>
  <c r="D4" i="24"/>
  <c r="D6" i="24"/>
  <c r="D2" i="24"/>
  <c r="F10" i="24"/>
  <c r="F9" i="24"/>
  <c r="B10" i="24"/>
  <c r="B9" i="24"/>
  <c r="D6" i="25"/>
  <c r="D4" i="25"/>
  <c r="D2" i="25"/>
  <c r="D9" i="25"/>
  <c r="B8" i="25"/>
  <c r="B9" i="25"/>
  <c r="G18" i="25" l="1"/>
  <c r="H18" i="25" s="1"/>
  <c r="I626" i="24"/>
  <c r="I625" i="24"/>
  <c r="H622" i="24"/>
  <c r="I622" i="24" s="1"/>
  <c r="H621" i="24"/>
  <c r="I621" i="24" s="1"/>
  <c r="I609" i="24"/>
  <c r="I610" i="24" s="1"/>
  <c r="H606" i="24"/>
  <c r="I606" i="24" s="1"/>
  <c r="I607" i="24" s="1"/>
  <c r="I594" i="24"/>
  <c r="I595" i="24" s="1"/>
  <c r="H591" i="24"/>
  <c r="I591" i="24" s="1"/>
  <c r="H590" i="24"/>
  <c r="I590" i="24" s="1"/>
  <c r="I577" i="24"/>
  <c r="I576" i="24"/>
  <c r="I575" i="24"/>
  <c r="I574" i="24"/>
  <c r="I573" i="24"/>
  <c r="I572" i="24"/>
  <c r="I571" i="24"/>
  <c r="H568" i="24"/>
  <c r="I568" i="24" s="1"/>
  <c r="H567" i="24"/>
  <c r="I567" i="24" s="1"/>
  <c r="H566" i="24"/>
  <c r="I566" i="24" s="1"/>
  <c r="I554" i="24"/>
  <c r="I553" i="24"/>
  <c r="I552" i="24"/>
  <c r="I551" i="24"/>
  <c r="I550" i="24"/>
  <c r="I549" i="24"/>
  <c r="I548" i="24"/>
  <c r="H545" i="24"/>
  <c r="I545" i="24" s="1"/>
  <c r="H544" i="24"/>
  <c r="I544" i="24" s="1"/>
  <c r="H543" i="24"/>
  <c r="I543" i="24" s="1"/>
  <c r="I531" i="24"/>
  <c r="I530" i="24"/>
  <c r="I529" i="24"/>
  <c r="I528" i="24"/>
  <c r="I527" i="24"/>
  <c r="I526" i="24"/>
  <c r="I525" i="24"/>
  <c r="H522" i="24"/>
  <c r="I522" i="24" s="1"/>
  <c r="H521" i="24"/>
  <c r="I521" i="24" s="1"/>
  <c r="H520" i="24"/>
  <c r="I520" i="24" s="1"/>
  <c r="I508" i="24"/>
  <c r="I507" i="24"/>
  <c r="I506" i="24"/>
  <c r="I505" i="24"/>
  <c r="I504" i="24"/>
  <c r="I503" i="24"/>
  <c r="I502" i="24"/>
  <c r="H499" i="24"/>
  <c r="I499" i="24" s="1"/>
  <c r="H498" i="24"/>
  <c r="I498" i="24" s="1"/>
  <c r="H497" i="24"/>
  <c r="I497" i="24" s="1"/>
  <c r="I485" i="24"/>
  <c r="I484" i="24"/>
  <c r="I483" i="24"/>
  <c r="I482" i="24"/>
  <c r="I481" i="24"/>
  <c r="I480" i="24"/>
  <c r="I479" i="24"/>
  <c r="H476" i="24"/>
  <c r="I476" i="24" s="1"/>
  <c r="H475" i="24"/>
  <c r="I475" i="24" s="1"/>
  <c r="H474" i="24"/>
  <c r="I474" i="24" s="1"/>
  <c r="I462" i="24"/>
  <c r="I461" i="24"/>
  <c r="I460" i="24"/>
  <c r="I459" i="24"/>
  <c r="I458" i="24"/>
  <c r="I457" i="24"/>
  <c r="H454" i="24"/>
  <c r="I454" i="24" s="1"/>
  <c r="H453" i="24"/>
  <c r="I453" i="24" s="1"/>
  <c r="I441" i="24"/>
  <c r="I440" i="24"/>
  <c r="I439" i="24"/>
  <c r="I438" i="24"/>
  <c r="I437" i="24"/>
  <c r="I436" i="24"/>
  <c r="H433" i="24"/>
  <c r="I433" i="24" s="1"/>
  <c r="H432" i="24"/>
  <c r="I432" i="24" s="1"/>
  <c r="H431" i="24"/>
  <c r="I431" i="24" s="1"/>
  <c r="I419" i="24"/>
  <c r="I418" i="24"/>
  <c r="I417" i="24"/>
  <c r="I416" i="24"/>
  <c r="H413" i="24"/>
  <c r="I413" i="24" s="1"/>
  <c r="H412" i="24"/>
  <c r="I412" i="24" s="1"/>
  <c r="I414" i="24" s="1"/>
  <c r="I400" i="24"/>
  <c r="I399" i="24"/>
  <c r="H396" i="24"/>
  <c r="I396" i="24"/>
  <c r="H395" i="24"/>
  <c r="I395" i="24" s="1"/>
  <c r="I227" i="24"/>
  <c r="I228" i="24" s="1"/>
  <c r="I224" i="24"/>
  <c r="I223" i="24"/>
  <c r="D99" i="24" s="1"/>
  <c r="I356" i="24"/>
  <c r="I355" i="24"/>
  <c r="H345" i="24"/>
  <c r="I345" i="24" s="1"/>
  <c r="H346" i="24"/>
  <c r="I346" i="24" s="1"/>
  <c r="I354" i="24"/>
  <c r="I353" i="24"/>
  <c r="I352" i="24"/>
  <c r="I351" i="24"/>
  <c r="I350" i="24"/>
  <c r="I349" i="24"/>
  <c r="I20" i="24"/>
  <c r="H372" i="24"/>
  <c r="I372" i="24" s="1"/>
  <c r="H371" i="24"/>
  <c r="I371" i="24" s="1"/>
  <c r="H370" i="24"/>
  <c r="I370" i="24" s="1"/>
  <c r="H369" i="24"/>
  <c r="I369" i="24" s="1"/>
  <c r="H368" i="24"/>
  <c r="I368" i="24" s="1"/>
  <c r="I384" i="24"/>
  <c r="I383" i="24"/>
  <c r="I382" i="24"/>
  <c r="I381" i="24"/>
  <c r="I380" i="24"/>
  <c r="I379" i="24"/>
  <c r="I378" i="24"/>
  <c r="I377" i="24"/>
  <c r="I376" i="24"/>
  <c r="G375" i="24"/>
  <c r="I375" i="24" s="1"/>
  <c r="H262" i="24"/>
  <c r="I262" i="24"/>
  <c r="H261" i="24"/>
  <c r="I261" i="24" s="1"/>
  <c r="H260" i="24"/>
  <c r="I260" i="24" s="1"/>
  <c r="H283" i="24"/>
  <c r="I283" i="24" s="1"/>
  <c r="H285" i="24"/>
  <c r="I285" i="24" s="1"/>
  <c r="H284" i="24"/>
  <c r="I284" i="24" s="1"/>
  <c r="H308" i="24"/>
  <c r="I308" i="24" s="1"/>
  <c r="H307" i="24"/>
  <c r="I307" i="24" s="1"/>
  <c r="H306" i="24"/>
  <c r="I306" i="24" s="1"/>
  <c r="H330" i="24"/>
  <c r="I330" i="24" s="1"/>
  <c r="I331" i="24" s="1"/>
  <c r="H240" i="24"/>
  <c r="I240" i="24" s="1"/>
  <c r="H239" i="24"/>
  <c r="I239" i="24" s="1"/>
  <c r="I317" i="24"/>
  <c r="I316" i="24"/>
  <c r="I315" i="24"/>
  <c r="I314" i="24"/>
  <c r="I313" i="24"/>
  <c r="I312" i="24"/>
  <c r="I311" i="24"/>
  <c r="I333" i="24"/>
  <c r="I334" i="24" s="1"/>
  <c r="I294" i="24"/>
  <c r="I293" i="24"/>
  <c r="I292" i="24"/>
  <c r="I291" i="24"/>
  <c r="I290" i="24"/>
  <c r="I289" i="24"/>
  <c r="I288" i="24"/>
  <c r="I271" i="24"/>
  <c r="I270" i="24"/>
  <c r="I269" i="24"/>
  <c r="I268" i="24"/>
  <c r="I267" i="24"/>
  <c r="I266" i="24"/>
  <c r="I265" i="24"/>
  <c r="I248" i="24"/>
  <c r="I247" i="24"/>
  <c r="I246" i="24"/>
  <c r="I245" i="24"/>
  <c r="I244" i="24"/>
  <c r="I243" i="24"/>
  <c r="I44" i="24"/>
  <c r="I24" i="24"/>
  <c r="I21" i="24"/>
  <c r="K35" i="23"/>
  <c r="D34" i="23"/>
  <c r="I34" i="23"/>
  <c r="C37" i="23"/>
  <c r="J35" i="23"/>
  <c r="H35" i="23"/>
  <c r="F35" i="23"/>
  <c r="M34" i="23"/>
  <c r="F34" i="23"/>
  <c r="I397" i="24" l="1"/>
  <c r="I385" i="24"/>
  <c r="I420" i="24"/>
  <c r="I422" i="24" s="1"/>
  <c r="I546" i="24"/>
  <c r="I558" i="24" s="1"/>
  <c r="I555" i="24"/>
  <c r="I401" i="24"/>
  <c r="I272" i="24"/>
  <c r="I225" i="24"/>
  <c r="I231" i="24" s="1"/>
  <c r="I477" i="24"/>
  <c r="I500" i="24"/>
  <c r="I512" i="24" s="1"/>
  <c r="I578" i="24"/>
  <c r="I249" i="24"/>
  <c r="I318" i="24"/>
  <c r="I463" i="24"/>
  <c r="I486" i="24"/>
  <c r="I592" i="24"/>
  <c r="I598" i="24" s="1"/>
  <c r="I627" i="24"/>
  <c r="I263" i="24"/>
  <c r="I275" i="24" s="1"/>
  <c r="I241" i="24"/>
  <c r="I252" i="24" s="1"/>
  <c r="I532" i="24"/>
  <c r="I28" i="24"/>
  <c r="I295" i="24"/>
  <c r="I309" i="24"/>
  <c r="I321" i="24" s="1"/>
  <c r="I373" i="24"/>
  <c r="I388" i="24" s="1"/>
  <c r="I22" i="24"/>
  <c r="I357" i="24"/>
  <c r="I347" i="24"/>
  <c r="I360" i="24" s="1"/>
  <c r="I40" i="24"/>
  <c r="I47" i="24" s="1"/>
  <c r="I442" i="24"/>
  <c r="I509" i="24"/>
  <c r="I511" i="24" s="1"/>
  <c r="I337" i="24"/>
  <c r="I336" i="24"/>
  <c r="I423" i="24"/>
  <c r="I489" i="24"/>
  <c r="I613" i="24"/>
  <c r="I612" i="24"/>
  <c r="I404" i="24"/>
  <c r="I403" i="24"/>
  <c r="I434" i="24"/>
  <c r="I523" i="24"/>
  <c r="I623" i="24"/>
  <c r="I286" i="24"/>
  <c r="I455" i="24"/>
  <c r="I569" i="24"/>
  <c r="I387" i="24" l="1"/>
  <c r="I274" i="24"/>
  <c r="I31" i="24"/>
  <c r="D16" i="24" s="1"/>
  <c r="I320" i="24"/>
  <c r="I322" i="24" s="1"/>
  <c r="D302" i="24" s="1"/>
  <c r="I488" i="24"/>
  <c r="I490" i="24" s="1"/>
  <c r="D470" i="24" s="1"/>
  <c r="I557" i="24"/>
  <c r="D34" i="24"/>
  <c r="I251" i="24"/>
  <c r="I253" i="24" s="1"/>
  <c r="D235" i="24" s="1"/>
  <c r="I359" i="24"/>
  <c r="I361" i="24" s="1"/>
  <c r="D341" i="24" s="1"/>
  <c r="I597" i="24"/>
  <c r="I599" i="24" s="1"/>
  <c r="D586" i="24" s="1"/>
  <c r="I513" i="24"/>
  <c r="D493" i="24" s="1"/>
  <c r="I230" i="24"/>
  <c r="I232" i="24" s="1"/>
  <c r="D219" i="24" s="1"/>
  <c r="I424" i="24"/>
  <c r="D408" i="24" s="1"/>
  <c r="I276" i="24"/>
  <c r="D256" i="24" s="1"/>
  <c r="I629" i="24"/>
  <c r="I630" i="24"/>
  <c r="I298" i="24"/>
  <c r="I297" i="24"/>
  <c r="I405" i="24"/>
  <c r="D391" i="24" s="1"/>
  <c r="I614" i="24"/>
  <c r="D602" i="24" s="1"/>
  <c r="I389" i="24"/>
  <c r="D364" i="24" s="1"/>
  <c r="I338" i="24"/>
  <c r="D326" i="24" s="1"/>
  <c r="I466" i="24"/>
  <c r="I465" i="24"/>
  <c r="I444" i="24"/>
  <c r="I445" i="24"/>
  <c r="I581" i="24"/>
  <c r="I580" i="24"/>
  <c r="I534" i="24"/>
  <c r="I535" i="24"/>
  <c r="I559" i="24"/>
  <c r="D539" i="24" s="1"/>
  <c r="I536" i="24" l="1"/>
  <c r="D516" i="24" s="1"/>
  <c r="I446" i="24"/>
  <c r="D427" i="24" s="1"/>
  <c r="I631" i="24"/>
  <c r="D617" i="24" s="1"/>
  <c r="I582" i="24"/>
  <c r="D562" i="24" s="1"/>
  <c r="I467" i="24"/>
  <c r="D449" i="24" s="1"/>
  <c r="I299" i="24"/>
  <c r="D279" i="24" s="1"/>
  <c r="J14" i="16" l="1"/>
  <c r="E14" i="25" s="1"/>
  <c r="G14" i="25" l="1"/>
  <c r="H14" i="25" l="1"/>
  <c r="G15" i="25"/>
  <c r="H15" i="25" s="1"/>
  <c r="E16" i="25" l="1"/>
  <c r="E20" i="25" l="1"/>
  <c r="G16" i="25"/>
  <c r="J26" i="16"/>
  <c r="G20" i="25" l="1"/>
  <c r="H20" i="25" s="1"/>
  <c r="D17" i="25"/>
  <c r="D15" i="25"/>
  <c r="D18" i="25"/>
  <c r="D14" i="25"/>
  <c r="D16" i="25"/>
  <c r="D23" i="25"/>
  <c r="D26" i="25"/>
  <c r="D24" i="25"/>
  <c r="D25" i="25"/>
  <c r="K14" i="16"/>
  <c r="K22" i="16"/>
  <c r="K20" i="16"/>
  <c r="K24" i="16"/>
  <c r="H16" i="25"/>
  <c r="K16" i="16"/>
  <c r="D28" i="25" l="1"/>
  <c r="D30" i="25" s="1"/>
  <c r="H28" i="25"/>
  <c r="D20" i="25"/>
  <c r="K26" i="16"/>
</calcChain>
</file>

<file path=xl/sharedStrings.xml><?xml version="1.0" encoding="utf-8"?>
<sst xmlns="http://schemas.openxmlformats.org/spreadsheetml/2006/main" count="1362" uniqueCount="374">
  <si>
    <t>Item</t>
  </si>
  <si>
    <t>Discriminação</t>
  </si>
  <si>
    <t>1.00</t>
  </si>
  <si>
    <t>DIVERSOS</t>
  </si>
  <si>
    <t>TOTAL</t>
  </si>
  <si>
    <t>ITEM</t>
  </si>
  <si>
    <t>DISCRIMINAÇÃO</t>
  </si>
  <si>
    <t>CRONOGRAMA FÍSICO-FINANCEIRO</t>
  </si>
  <si>
    <t>% DO ITEM</t>
  </si>
  <si>
    <t>VALOR DO ITEM</t>
  </si>
  <si>
    <t>%</t>
  </si>
  <si>
    <t>VALOR</t>
  </si>
  <si>
    <t>COORDENAÇÃO DE INFRA-ESTRUTURA EM SAÚDE</t>
  </si>
  <si>
    <t>% do item</t>
  </si>
  <si>
    <t xml:space="preserve"> </t>
  </si>
  <si>
    <t>NÚCLEO DE INFRA-ESTRUTURA EM SAÚDE - NIS</t>
  </si>
  <si>
    <t>GABINETE DO SECRETÁRIO</t>
  </si>
  <si>
    <t>3. Despesas financeiras</t>
  </si>
  <si>
    <t>Percentuais (%)</t>
  </si>
  <si>
    <t>Composição do BDI</t>
  </si>
  <si>
    <t>NÚCLEO DE INFRAESTRUTURA EM SAÚDE - NIS</t>
  </si>
  <si>
    <t>SECRETARIA DE ESTADO DA SAÚDE</t>
  </si>
  <si>
    <t>GOVERNO DO ESTADO DO PIAUÍ</t>
  </si>
  <si>
    <t>PLANILHA ORÇAMENTÁRIA</t>
  </si>
  <si>
    <t>Quant.</t>
  </si>
  <si>
    <t>Unid.</t>
  </si>
  <si>
    <t>CÁLCULO DO BDI</t>
  </si>
  <si>
    <t>1. Lucro</t>
  </si>
  <si>
    <t>2. Administração central</t>
  </si>
  <si>
    <t>4. ISSQN</t>
  </si>
  <si>
    <t>5. PIS</t>
  </si>
  <si>
    <t>6. COFINS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</si>
  <si>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</si>
  <si>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</si>
  <si>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</si>
  <si>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</si>
  <si>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</si>
  <si>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</si>
  <si>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</si>
  <si>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</si>
  <si>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</si>
  <si>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>Custo Unitário de Referência</t>
  </si>
  <si>
    <t xml:space="preserve">Preço Total </t>
  </si>
  <si>
    <t>SERVIÇOSA PRELIMINARES</t>
  </si>
  <si>
    <t>Código</t>
  </si>
  <si>
    <t>Descrição</t>
  </si>
  <si>
    <t>Unidade</t>
  </si>
  <si>
    <t>Coeficiente</t>
  </si>
  <si>
    <t>Preço</t>
  </si>
  <si>
    <t>Total</t>
  </si>
  <si>
    <t>MAO DE OBRA</t>
  </si>
  <si>
    <t>H</t>
  </si>
  <si>
    <t>SERVENTE</t>
  </si>
  <si>
    <t>TOTAL MAO DE OBRA</t>
  </si>
  <si>
    <t>Total Simples</t>
  </si>
  <si>
    <t>Encargos</t>
  </si>
  <si>
    <t>TOTAL GERAL</t>
  </si>
  <si>
    <t>Preço Adotado =</t>
  </si>
  <si>
    <t>ENCARGOS SOCIAIS COM DESONERAÇÃO:</t>
  </si>
  <si>
    <t>MATERIAIS</t>
  </si>
  <si>
    <t>TOTAL MATERIAIS</t>
  </si>
  <si>
    <t>ELETRICISTA</t>
  </si>
  <si>
    <t>UN</t>
  </si>
  <si>
    <t>Unid: Pt</t>
  </si>
  <si>
    <t>M</t>
  </si>
  <si>
    <t>CAIXA ESTAMPADA 3"X3", 4''X2'', 4"X4" - CHAPA 18</t>
  </si>
  <si>
    <t>CAIXA PASSAG. CHAPA C/TAMPA PARAF. 100X100X80MM</t>
  </si>
  <si>
    <t>CABO LOGICO/VIDEO COAXIAL 75 (OHMS)</t>
  </si>
  <si>
    <t>PONTO LÓGICO, MATERIAL E EXECUÇÃO</t>
  </si>
  <si>
    <t>COMPISIÇÕES DE CUSTO</t>
  </si>
  <si>
    <t>Refer.</t>
  </si>
  <si>
    <t>SINAPI</t>
  </si>
  <si>
    <t>COMP.</t>
  </si>
  <si>
    <t>APLICAÇÃO</t>
  </si>
  <si>
    <t>SEINFRA</t>
  </si>
  <si>
    <t>KG</t>
  </si>
  <si>
    <t>PONTO ELÉTRICO PARA TOMADA DUPLA</t>
  </si>
  <si>
    <t>Unid</t>
  </si>
  <si>
    <t>PEDREIRO</t>
  </si>
  <si>
    <t>I4750/SINAPI</t>
  </si>
  <si>
    <t>I6111/SINAPI</t>
  </si>
  <si>
    <t>I2436/SINAPI</t>
  </si>
  <si>
    <t>I0363/SEINFRA</t>
  </si>
  <si>
    <t>I0419/SEINFRA</t>
  </si>
  <si>
    <t>I0428/SEINFRA</t>
  </si>
  <si>
    <t>UNID</t>
  </si>
  <si>
    <t>Preço Unit. Com BDI</t>
  </si>
  <si>
    <t>CARPINTEIRO</t>
  </si>
  <si>
    <t xml:space="preserve">H </t>
  </si>
  <si>
    <t>I0032/SINAPI</t>
  </si>
  <si>
    <t>M3</t>
  </si>
  <si>
    <t>M2</t>
  </si>
  <si>
    <t>I0367/SINAPI</t>
  </si>
  <si>
    <t>AREIA GROSSA</t>
  </si>
  <si>
    <t>I1379/SINAPI</t>
  </si>
  <si>
    <t>CIMENTO PORTLAND</t>
  </si>
  <si>
    <t>07517/ORSE</t>
  </si>
  <si>
    <t>04675/ORSE</t>
  </si>
  <si>
    <t>I1872/SINAPI</t>
  </si>
  <si>
    <t>CAIXA PVC 4" X 2" P/ ELETRODUTO "</t>
  </si>
  <si>
    <t>I2674/SINAPI</t>
  </si>
  <si>
    <t>ELETRODUTO DE PVC ROSCÁVEL DE 3/4" (19 MM), SEM LUVA</t>
  </si>
  <si>
    <t>I0247/SINAPI</t>
  </si>
  <si>
    <t>AUXILIAR DE ELETRICISTA</t>
  </si>
  <si>
    <t>I1885/SINAPI</t>
  </si>
  <si>
    <t>CURVA PVC 90G P/ ELETRODUTO ROSCAVEL 3/4"</t>
  </si>
  <si>
    <t>I1891/SINAPI</t>
  </si>
  <si>
    <t>LUVA PVC ROSCAVEL P/ ELETRODUTO 3/4"</t>
  </si>
  <si>
    <t>PONTO ELÉTRICO PARA AR CONDICIONADO</t>
  </si>
  <si>
    <t>I13347/SINAPI</t>
  </si>
  <si>
    <t>CONJUNTO ARSTOP P/ AR CONDICIONADO C/ DISJUNTOR 25A</t>
  </si>
  <si>
    <t>I20111/SINAPI</t>
  </si>
  <si>
    <t>FITA ISOLANTE ADESIVA ANTI-CHAMA, USO ATÉ 750 V, EM ROLO DE 19 MM X 20 M</t>
  </si>
  <si>
    <t>l0981/SINAPI</t>
  </si>
  <si>
    <t>CABO DE COBRE ISOLAMENTO ANTI-CHAMA 450/750V 4MM2, FLEXIVEL, TP FORESPLAST ALCOA OU EQUIV</t>
  </si>
  <si>
    <t>PONTO ELÉTRICO PARA TOMADA SIMPLES 2P + T, 10 A</t>
  </si>
  <si>
    <t>I1014/SINAPI</t>
  </si>
  <si>
    <t>CABO DE COBRE ISOLAMENTO ANTI-CHAMA 450/750V 2,5MM2, FLEXIVEL, TP FORESPLAST ALCOA OU EQUIV</t>
  </si>
  <si>
    <t>I7528/SINAPI</t>
  </si>
  <si>
    <t>TOMADA DE EMBUTIR, 2 P + T, UNIVERSAL, DE 10 A / 250 V, COM PLACA</t>
  </si>
  <si>
    <t>PONTO ELÉTRICO PARA TOMADA SIMPLES 2P + T, 20 A</t>
  </si>
  <si>
    <t>I0981/SINAPI</t>
  </si>
  <si>
    <t>CABO DE COBRE ISOLAMENTO ANTI-CHAMA 450/750V 4,0 MM2, FLEXIVEL, TP FORESPLAST ALCOA OU EQUIV</t>
  </si>
  <si>
    <t>09097/ORSE</t>
  </si>
  <si>
    <t>TOMADA 2P + T, ABNT, DE EMBUTIR, 20 A, COM PLACA EM PVC</t>
  </si>
  <si>
    <t>09106/ORSE</t>
  </si>
  <si>
    <t>TOMADA DUPLA, DE EMBUTIR, PARA USO GERAL, 2P+T, ABNT</t>
  </si>
  <si>
    <t>PONTO DE INTERRUPTOR 01 SEÇÃO</t>
  </si>
  <si>
    <t>l7555/SINAPI</t>
  </si>
  <si>
    <t xml:space="preserve">INTERRUPTOR SIMPLES EMBUTIR 10A/250V C/PLACA, TIPO SILENTOQUE PIAL OU EQUIV </t>
  </si>
  <si>
    <t>PONTO DE INTERRUPTOR 02 SEÇÕES</t>
  </si>
  <si>
    <t>l01119/ORSE</t>
  </si>
  <si>
    <t>INTERRUPTOR EMBUTIR 02 SEÇÕES SIMPLES COM PLACA</t>
  </si>
  <si>
    <t>CAIXA PVC OCTOGONAL 4 X 4 "</t>
  </si>
  <si>
    <t>l12001/SINAPI</t>
  </si>
  <si>
    <t>CAIXA PVC OCTOGONAL - 4"</t>
  </si>
  <si>
    <t>LUMINÁRIA DE EMERGÊNCIA</t>
  </si>
  <si>
    <t>01353/ORSE</t>
  </si>
  <si>
    <t>PONTO DE INTERRUPTOR 03 SEÇÕES</t>
  </si>
  <si>
    <t>l01121/ORSE</t>
  </si>
  <si>
    <t>INTERRUPTOR 03 SEÇÕES SIMPLES DE EMBUTIR COM PLACA</t>
  </si>
  <si>
    <t>LUMINÁRIA DE EMERGÊNCIA 20W</t>
  </si>
  <si>
    <t>Data Base: Janeiro/2014 com Desoneração</t>
  </si>
  <si>
    <t>I6115/SINAPI</t>
  </si>
  <si>
    <t>AJUDANTE</t>
  </si>
  <si>
    <t>I6110/SINAPI</t>
  </si>
  <si>
    <t>SERRALHEIRO</t>
  </si>
  <si>
    <t>PINTOR</t>
  </si>
  <si>
    <t>I3670/SINAPI</t>
  </si>
  <si>
    <t>M³</t>
  </si>
  <si>
    <t>I4376/SINAPI</t>
  </si>
  <si>
    <t>BUCHA PLÁSTICA 8MM</t>
  </si>
  <si>
    <t>UM</t>
  </si>
  <si>
    <t>I0539/SEINFRA</t>
  </si>
  <si>
    <t>CHAPA DE AÇO GALVANIZADA N.26. DESENV 0.50M</t>
  </si>
  <si>
    <t>CIMENTO PORTLAND COMPOSTO CP II- 32</t>
  </si>
  <si>
    <t>TINTA AUTOMOTIVA DELTRON PPG COR AMARELA OU SIMILAR</t>
  </si>
  <si>
    <t>L</t>
  </si>
  <si>
    <t>I11964/SINAPI</t>
  </si>
  <si>
    <t>PARAFUSO AÇO CHUMBADOR 3/8"X75MM</t>
  </si>
  <si>
    <t>I13388/SINAPI</t>
  </si>
  <si>
    <t>SOLDA 50/50</t>
  </si>
  <si>
    <t>I7307/SINAPI</t>
  </si>
  <si>
    <t>FUNDO ANTICORROSIVO TIPO ZARCAO OU EQUIV</t>
  </si>
  <si>
    <t>GL</t>
  </si>
  <si>
    <t>I5318/SINAPI</t>
  </si>
  <si>
    <t>SOLVENTE DILUENTE A BASE DE AGUARRAS</t>
  </si>
  <si>
    <t>I3768/SINAPI</t>
  </si>
  <si>
    <t>LIXA PARA FERRO</t>
  </si>
  <si>
    <t>LETRA EM CHAPA GALVANIZADA, PINTADA COM TINTA AUTOMOTIVA NA COR PRETA FOSCA, SENDO 4-40X30CM, 4-25X12CM E 24-20X12CM</t>
  </si>
  <si>
    <t>I4783/SINAPI</t>
  </si>
  <si>
    <t>I02217/ORSE</t>
  </si>
  <si>
    <t>Unid:M2</t>
  </si>
  <si>
    <t>I0208/SEINFRA</t>
  </si>
  <si>
    <t>BATENTE DE FERRO</t>
  </si>
  <si>
    <t>I1106/SEINFRA</t>
  </si>
  <si>
    <t>CAL HIDRATADA</t>
  </si>
  <si>
    <t>I1031/SEINFRA</t>
  </si>
  <si>
    <t>DOBRADIÇA DE FERRO PARA PORTA INTERNA</t>
  </si>
  <si>
    <t>I1154/SEINFRA</t>
  </si>
  <si>
    <t>FECHADURA COMPLETA PARA PORTA EXTERNA</t>
  </si>
  <si>
    <t>I1704/SEINFRA</t>
  </si>
  <si>
    <t>PORTA DE FERRO EM CHAPA DUPLA N.14</t>
  </si>
  <si>
    <t>PERIM.</t>
  </si>
  <si>
    <t>LARG.</t>
  </si>
  <si>
    <t>ALT.</t>
  </si>
  <si>
    <t>QUANT.</t>
  </si>
  <si>
    <t>AJUDANTE DE CARPINTEIRO</t>
  </si>
  <si>
    <t>PORTA DE METALON E PINTURA COM PROTEÇÃO CONTRA A MARESIA COR A DEFINIR COM MAÇANETA TIPO CROMADA</t>
  </si>
  <si>
    <t>MAÇANETA</t>
  </si>
  <si>
    <t>I0109</t>
  </si>
  <si>
    <t>I2391</t>
  </si>
  <si>
    <t>I2543</t>
  </si>
  <si>
    <t>m2</t>
  </si>
  <si>
    <t xml:space="preserve">ARANDELA DE USO EXTERNO </t>
  </si>
  <si>
    <t>ARANDELA DE USO EXTERNO EM ALUMÍNIO PINTADO, COM DIFUSOR EM VIDRO TRANSPARENTE, REF: DP-2011-01, LUSTRES PROJETO OU SIMILAR</t>
  </si>
  <si>
    <t>LÂMPADA FLUORESCENTE ELETRONICA PL 15W / 127V (COMPACTA INTEGRADA)</t>
  </si>
  <si>
    <t>PONTO TELEFÔNICO, MATERIAL E EXECUÇÃO</t>
  </si>
  <si>
    <t>I07526/SINAPI</t>
  </si>
  <si>
    <t>TOMADA EMBUTIR P/ TELEFONE PADRÃO TELEBRAS C/ PLACA, TIPO SILENTOQUE PIAL OU EQUIV.</t>
  </si>
  <si>
    <t>I02938/ORSE</t>
  </si>
  <si>
    <t xml:space="preserve">FIO TRANÇADO 2 X 22 </t>
  </si>
  <si>
    <t>Luminária de emergência 20w</t>
  </si>
  <si>
    <t>LUMINÁRIA, EMBUTIR P/ LÂMPADAS TUBULARES 2 X 20 W COM PROTEÇÃO DE VIDRO OU POLICARBONATO</t>
  </si>
  <si>
    <t>7060/ORSE</t>
  </si>
  <si>
    <t>Lampada fluorescente eletronica PL 26W / 127V (compacta integrada)</t>
  </si>
  <si>
    <t>10425/ORSE</t>
  </si>
  <si>
    <t>Luminária de embutir com aletas em aluminio, para lâmpada fluorescente compacta 2 x 26w</t>
  </si>
  <si>
    <t>Proteção radiológica (barita) nas paredes de acordo com recomendação do fabricante do equipamento.</t>
  </si>
  <si>
    <t xml:space="preserve"> BLINDOR/CHUMBO ( 1,10 X 2,10 )M</t>
  </si>
  <si>
    <t>VOL</t>
  </si>
  <si>
    <t>ÁREA</t>
  </si>
  <si>
    <t>RUFO EM CONCRETO ARMADO, LARGURA 40CM, ESPESSURA 3CM</t>
  </si>
  <si>
    <t>Engenheiro Civil</t>
  </si>
  <si>
    <t>Registro Nacional</t>
  </si>
  <si>
    <r>
      <rPr>
        <b/>
        <sz val="12"/>
        <color indexed="8"/>
        <rFont val="Arial"/>
        <family val="2"/>
      </rPr>
      <t>Município:</t>
    </r>
    <r>
      <rPr>
        <sz val="12"/>
        <color indexed="8"/>
        <rFont val="Arial"/>
        <family val="2"/>
      </rPr>
      <t xml:space="preserve"> Bom Jesus-PI</t>
    </r>
  </si>
  <si>
    <t>CARPINTEIRO DE ESQUADRIA COM ENCARGOS COMPLEMENTARES</t>
  </si>
  <si>
    <t>AJUDANTE DE CARPINTEIRO COM ENCARGOS COMPLEMENTARES</t>
  </si>
  <si>
    <t>PORTA INTERNA DE CEDRO LISA COMPLETA UMA FOLHA (0.60X 2.10)</t>
  </si>
  <si>
    <t>C1985</t>
  </si>
  <si>
    <t>C2216</t>
  </si>
  <si>
    <t>REVESTIMENTO C/LAMINADO MELAMÍNICO COLADO</t>
  </si>
  <si>
    <t xml:space="preserve">PORTA EM MADEIRA LISA 0,60X2,10M, REVESTIDA COM PROTETOR LAMINADO MELAMÍNICO (H=0,85M), INCLUSIVE BATENTES E FERRAGENS  </t>
  </si>
  <si>
    <t>C1987</t>
  </si>
  <si>
    <t>PORTA INTERNA DE CEDRO LISA COMPLETA UMA FOLHA (0.80X 2.10)</t>
  </si>
  <si>
    <t xml:space="preserve">PORTA EM MADEIRA LISA 0,80X2,10M, REVESTIDA COM PROTETOR LAMINADO MELAMÍNICO (H=0,85M), INCLUSIVE BATENTES E FERRAGENS  </t>
  </si>
  <si>
    <t xml:space="preserve">PORTA EM MADEIRA LISA 0,90X2,10M, REVESTIDA COM PROTETOR LAMINADO MELAMÍNICO (H=0,85M), INCLUSIVE BATENTES E FERRAGENS  </t>
  </si>
  <si>
    <t>PORTA INTERNA DE CEDRO LISA COMPLETA UMA FOLHA (0.90X 2.10)</t>
  </si>
  <si>
    <t xml:space="preserve">PORTA EM MADEIRA LISA 1,20X2,10M, REVESTIDA COM PROTETOR LAMINADO MELAMÍNICO (H=0,85M), INCLUSIVE BATENTES E FERRAGENS  </t>
  </si>
  <si>
    <t>C1980</t>
  </si>
  <si>
    <t>PORTA INTERNA DE CEDRO LISA COMPLETA DUAS FOLHAS (1.20X 2.10)</t>
  </si>
  <si>
    <t>PORTA INTERNA DE CEDRO LISA COMPLETA DUAS FOLHAS (1.60X 2.10)</t>
  </si>
  <si>
    <t>VISOR DE VIDRO LAMINADO TRANSPARENTE 40X40CM C/ ESP. 4MM</t>
  </si>
  <si>
    <t xml:space="preserve">PORTA EM MADEIRA LISA 1,60X2,10M, REVESTIDA COM PROTETOR LAMINADO MELAMÍNICO (H=0,85M), VISOR DE VIDRO LAMINADO TRANSPARENTE 40X40CM C/ ESP. 4MM, INCLUSIVE BATENTES E FERRAGENS  </t>
  </si>
  <si>
    <t>ATERRO APILOADO(MANUAL) EM CAMADAS DE 20 CM COM MATERIAL DE EMPRÉSTIMO.</t>
  </si>
  <si>
    <t>Unid: M3</t>
  </si>
  <si>
    <t>SERVENTE COM ENCARGOS COMPLEMENTARES</t>
  </si>
  <si>
    <t>SAIBRO PARA ARGAMASSA (COLETADO NO COMERCIO)</t>
  </si>
  <si>
    <t>0006076</t>
  </si>
  <si>
    <t>PEDREIRO COM ENCARGOS COMPLEMENTARES</t>
  </si>
  <si>
    <t>AUXILIAR DE ENCANADOR COM ENCARGOS COMPLEMENTARES</t>
  </si>
  <si>
    <t>C3671</t>
  </si>
  <si>
    <t>CONE PARA EXPURGO EM AÇO INOX COM TAMPA E GRELHA - L=500MM X C=500MM, ALTURA ATÉ 300MM E SAÍDA D=100MM</t>
  </si>
  <si>
    <t>C2302</t>
  </si>
  <si>
    <t>TAMPO DE AÇO INOX P/ BANCADAS</t>
  </si>
  <si>
    <t>Unid: Und</t>
  </si>
  <si>
    <t>EXPURGO HOSPITALAR EM AÇO INOX, DIMENSÃO: 500X500X300MM, SAÍDA DE Ø=100MM, INCLUSIVE TAMPA</t>
  </si>
  <si>
    <t>LIMPEZA FINAL DA OBRA</t>
  </si>
  <si>
    <t>EMBASAMENTO C/PEDRA ARGAMASSADA UTILIZANDO ARG.CIM/AREIA 1:4</t>
  </si>
  <si>
    <t>PEDRA DE MAO OU PEDRA RACHAO PARA ARRIMO/FUNDACAO (POSTO PEDREIRA/FORNECEDOR, SEM FRETE)</t>
  </si>
  <si>
    <t>ARGAMASSA TRAÇO 1:4 (CIMENTO E AREIA GROSSA) PARA CHAPISCO CONVENCIONAL, PREPARO MECÂNICO COM BETONEIRA 400 L. AF_06/2014</t>
  </si>
  <si>
    <t>00004730</t>
  </si>
  <si>
    <t>ARMADOR COM ENCARGOS COMPLEMENTARES</t>
  </si>
  <si>
    <t>CARPINTEIRO DE FORMAS COM ENCARGOS COMPLEMENTARES</t>
  </si>
  <si>
    <t>OPERADOR DE MÁQUINAS E EQUIPAMENTOS COM ENCARGOS COMPLEMENTARES</t>
  </si>
  <si>
    <t>ACO CA-50, 16,0 MM, VERGALHAO</t>
  </si>
  <si>
    <t>ACO CA-50, 20,0 MM, VERGALHAO</t>
  </si>
  <si>
    <t>ACO CA-50, 12,5 MM, VERGALHAO</t>
  </si>
  <si>
    <t>ACO CA-50, 6,3 MM, VERGALHAO</t>
  </si>
  <si>
    <t>ACO CA-50, 8,0 MM, VERGALHAO</t>
  </si>
  <si>
    <t>ACO CA-50, 10,0 MM, VERGALHAO</t>
  </si>
  <si>
    <t>ARAME RECOZIDO 18 BWG, 1,25 MM (0,01 KG/M)</t>
  </si>
  <si>
    <t>CONCRETO FCK=15MPA, PREPARO COM BETONEIRA, SEM LANCAMENTO</t>
  </si>
  <si>
    <t>ALUGUEL ELEVADOR EQUIPADO P/TRANSP CONCR A 10M ALT-CP-S/OPERADOR COM GUINCHO DE 10CV 16M TORRE DESMONTAVEL CACAMBA AUTOMATICA DE 550L FUNILP/DESCARGA E SILO DE ESPERA DE 1000L</t>
  </si>
  <si>
    <t>VIBRADOR DE IMERSAO MOTOR ELETR 2CV (CI) TUBO 48X480MM C/MANGOTE DE 5M COMP - EXCL OPERADOR</t>
  </si>
  <si>
    <t>ALUGUEL ELEVADOR EQUIPADO P/TRANSP CONCR A 10M ALT-CI-S/OPERADOR COM GUINCHO DE 10CV 16M TORRE DESMONTAVEL CACAMBA AUTOMATICA DE 550L FUNILP/DESCARGA E SILO ESPERA DE 1000L</t>
  </si>
  <si>
    <t>ESCORAMENTO FORMAS ATE H = 3,30M, COM MADEIRA DE 3A QUALIDADE, NAO APARELHADA, APROVEITAMENTO TABUAS 3X E PRUMOS 4X.</t>
  </si>
  <si>
    <t>FORMA TABUAS MADEIRA 3A P/ PECAS CONCRETO ARM, REAPR 2X, INCL MONTAGEM E DESMONTAGEM.</t>
  </si>
  <si>
    <t>BETONEIRA CAPACIDADE NOMINAL DE 400 L, CAPACIDADE DE MISTURA 310 L, MOTOR ELÉTRICO TRIFÁSICO POTÊNCIA DE 2 HP, SEM CARREGADOR - CHP DIURNO. AF_10/2014</t>
  </si>
  <si>
    <t>CHP</t>
  </si>
  <si>
    <t>00000027</t>
  </si>
  <si>
    <t>00000029</t>
  </si>
  <si>
    <t>00000031</t>
  </si>
  <si>
    <t>00000032</t>
  </si>
  <si>
    <t>00000033</t>
  </si>
  <si>
    <t>00000034</t>
  </si>
  <si>
    <t>00000337</t>
  </si>
  <si>
    <t>VIBRADOR DE IMERSAO MOTOR ELETR 3,5CV (CP) TUBO DE 48X48 C/MANGOTE DE 5M COMP -EXCL OPERADOR</t>
  </si>
  <si>
    <t>74074/004</t>
  </si>
  <si>
    <t>CONCRETO ARMADO DOSADO 15 MPA INCL MAT P/ 1 M3 PREPARO, INCLUSO FORMAS E ESCORAMENTO, ACO CA-50 INC, PARA CINTAS, VIGAS E PILARES</t>
  </si>
  <si>
    <t>ACO CA-60, 5,0 MM, VERGALHAO</t>
  </si>
  <si>
    <t>AREIA GROSSA - POSTO JAZIDA/FORNECEDOR (SEM FRETE)</t>
  </si>
  <si>
    <t>CIMENTO PORTLAND COMPOSTO CP II-32</t>
  </si>
  <si>
    <t>DESMOLDANTE PROTETOR PARA FORMAS DE MADEIRA, DE BASE OLEOSA EMULSIONADA EM AGUA</t>
  </si>
  <si>
    <t>PECA DE MADEIRA ROLICA SEM TRATAMENTO (EUCALIPTO OU REGIONAL EQUIVALENTE) D = 12 A 15 CM, P/ESCORAMENTOS, H = 6 M</t>
  </si>
  <si>
    <t>!EM PROCESSO DE DESATIVACAO! PECA DE MADEIRANATIVA/REGIONAL 2,5 X 10CM (1X4") NAO APARELHADA (SARRAFO-P/FORMA)</t>
  </si>
  <si>
    <t>PEDRA BRITADA N. 2 (19 A 38 MM) POSTO PEDREIRA/FORNECEDOR, SEM FRETE</t>
  </si>
  <si>
    <t>PREGO POLIDO COM CABECA 2 1/2 X 10</t>
  </si>
  <si>
    <t>TABUA MADEIRA 2A QUALIDADE 2,5 X 30,0CM (1 X 12") NAO APARELHADA</t>
  </si>
  <si>
    <t>00000039</t>
  </si>
  <si>
    <t>00000367</t>
  </si>
  <si>
    <t>00001379</t>
  </si>
  <si>
    <t>00002692</t>
  </si>
  <si>
    <t>00002751</t>
  </si>
  <si>
    <t>00004460</t>
  </si>
  <si>
    <t>00004718</t>
  </si>
  <si>
    <t>00005061</t>
  </si>
  <si>
    <t>00006189</t>
  </si>
  <si>
    <t>00011519</t>
  </si>
  <si>
    <t>MACANETA ALAVANCA, RETA OU CURVA, MACICA, CROMADA, COMPRIMENTO DE 10 A 16 CM, ACABAMENTO PADRAO MEDIO - SOMENTE MACANETAS</t>
  </si>
  <si>
    <t>PAR</t>
  </si>
  <si>
    <t>MAÇANETA CROMADA DE ALAVANCA COM A TERMINAÇÃO ARREDONDADA</t>
  </si>
  <si>
    <t>Unid:M</t>
  </si>
  <si>
    <t>Unid: Unid</t>
  </si>
  <si>
    <t>EDIFICAÇÃO</t>
  </si>
  <si>
    <t>MUNICÍPIO: TERESINA-PI</t>
  </si>
  <si>
    <t>ENDEREÇO: CENTRO ADMINISTRATIVO</t>
  </si>
  <si>
    <t>C4502</t>
  </si>
  <si>
    <t>DESMONTAGEM DE DIVIÓRIA DE VIDRO</t>
  </si>
  <si>
    <t>REMONTAGEM DE DIVISÓRIA DE VIDRO</t>
  </si>
  <si>
    <t>ORSE</t>
  </si>
  <si>
    <t>PORTA PARA DIVISÓRIA NAVAL 80X210</t>
  </si>
  <si>
    <t>PONTO DE TOMADA RESIDENCIAL INCLUINDO TOMADA 20A/250V, CAIXA ELÉTRICA, ELETRODUTO, CABO, RASGO, QUEBRA E CHUMBAMENTO ( AR CONDICIONADO TIPO SPLIT)</t>
  </si>
  <si>
    <t>2.00</t>
  </si>
  <si>
    <t>2.01</t>
  </si>
  <si>
    <t>2.02</t>
  </si>
  <si>
    <t>2.03</t>
  </si>
  <si>
    <t>TUBO, PVC, SOLDÁVEL, DN 25MM, INSTALADO EM DRENO DE AR-CONDICIONADO</t>
  </si>
  <si>
    <t>15 DIAS</t>
  </si>
  <si>
    <t>1.01</t>
  </si>
  <si>
    <t xml:space="preserve">SALA </t>
  </si>
  <si>
    <t>SALA</t>
  </si>
  <si>
    <t>DIVISÓRIA DIVILUX (PAINEL COM VIDRO), E=40MM, COM PERFIS EM ALUMÍNIO OU SIMILAR - FORNECIMENTO</t>
  </si>
  <si>
    <t>DIVISÓRIAS</t>
  </si>
  <si>
    <t>INSTALAÇÕES ELÉTRICAS E LÓGICA</t>
  </si>
  <si>
    <t>3.00</t>
  </si>
  <si>
    <t>INSTALAÇÕES HIDRAÚLICAS</t>
  </si>
  <si>
    <t>4.00</t>
  </si>
  <si>
    <t>3.01</t>
  </si>
  <si>
    <t>4.01</t>
  </si>
  <si>
    <t>5.00</t>
  </si>
  <si>
    <t>5.01</t>
  </si>
  <si>
    <t>7.CPRB (4,5% SOBRE FATURAMENTO)</t>
  </si>
  <si>
    <t xml:space="preserve">8. Garantia, seguro e riscos </t>
  </si>
  <si>
    <t>Teresina (PI),  06 de dezembro de 2017</t>
  </si>
  <si>
    <t>DATA BASE : OUTUBRO/2017 COM DESONERAÇÃO</t>
  </si>
  <si>
    <t>CUSTO DA REFORMA COM BDI ( ADOTADO 25,92%)</t>
  </si>
  <si>
    <t>1.02</t>
  </si>
  <si>
    <t>1.03</t>
  </si>
  <si>
    <t>VIDRO LISO COMUM TRANSPARENTE, ESPESSURA 4MM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</si>
  <si>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</si>
  <si>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</si>
  <si>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DISJUNTOR TERMOMAGNETICO MONOPOLAR PADRAO NEMA (AMERICANO) 15A 240V, FORNECIMENTO E INSTALACAO</t>
  </si>
  <si>
    <t>74130/001</t>
  </si>
  <si>
    <t>2.04</t>
  </si>
  <si>
    <t>DISJUNTOR TERMOMAGNETICO TRIPOLAR PADRAO NEMA (AMERICANO) 15A 240V, FORNECIMENTO E INSTALACAO</t>
  </si>
  <si>
    <t>74130/004</t>
  </si>
  <si>
    <t>2.05</t>
  </si>
  <si>
    <t>QUADRO DE DISTRIBUIÇÃO DE EMBUTIR, COM BARRAMENTO, PARA ATÉ 8 DISJUNTORES PADRÃO EUROPEU (LINHA BRANCA), EXCLUSIVE DISJUNTORES</t>
  </si>
  <si>
    <t>2.06</t>
  </si>
  <si>
    <t>PONTO DE ILUMINAÇÃO INCLUINDO INTERRUPTOR SIMPLES (2 MÓDULOS), CAIXA ELÉTRICA, ELETRODUTO, CABO, RASGO, QUEBRA E CHUMBAMENTO (EXCLUINDO LUMINÁRIA E LÂMPADA). AF_01/2016</t>
  </si>
  <si>
    <t>2.07</t>
  </si>
  <si>
    <t>PONTO DE TOMADA RESIDENCIAL INCLUINDO TOMADA 20A/250V, CAIXA ELÉTRICA, ELETRODUTO, CABO, RASGO, QUEBRA E CHUMBAMENTO. AF_01/2016 (AR CONDICIONADO)</t>
  </si>
  <si>
    <t>2.08</t>
  </si>
  <si>
    <t xml:space="preserve">PONTO DE TOMADA RESIDENCIAL INCLUINDO TOMADA 20A/250V, CAIXA ELÉTRICA, ELETRODUTO, CABO, RASGO, QUEBRA E CHUMBAMENTO. AF_01/2016 </t>
  </si>
  <si>
    <t>2.09</t>
  </si>
  <si>
    <t>TOMADA DUPLA PARA LÓGICA RJ45, 4"X2", EMBUTIR, COMPLETA, REF.0605, FAME OU SIMILAR</t>
  </si>
  <si>
    <t>07817</t>
  </si>
  <si>
    <t>2.10</t>
  </si>
  <si>
    <t>LUMINÁRIA FLUORESCENTE TUBULAR, 2 X 40 W / 127 V, COMPLETA - REV. 01</t>
  </si>
  <si>
    <t>REFORMA DA SALA DE REUNIÃO DA SESAPI</t>
  </si>
  <si>
    <t>V1</t>
  </si>
  <si>
    <t>V2</t>
  </si>
  <si>
    <t>H1</t>
  </si>
  <si>
    <t>H2</t>
  </si>
  <si>
    <t>CIRCUITO DE ILUMINAÇÃO</t>
  </si>
  <si>
    <t>CIRCUITO DE TOMADAS</t>
  </si>
  <si>
    <t>CIRCUITO DE AR-CONDICIONADO</t>
  </si>
  <si>
    <t>RECEPÇÃO</t>
  </si>
  <si>
    <t>TOMADA DE CONTAS</t>
  </si>
  <si>
    <t>REFORMA DA SALA DE TOMADA DE CONTAS ESPECIAIS DA SESAPI</t>
  </si>
  <si>
    <t>TOTAL DA REFORMA</t>
  </si>
  <si>
    <t>OBRA: REFORMA DA SALA DE REUNIÃO E DE TOMADA DE CONTAS ESPECIAIS DA SESAPI</t>
  </si>
  <si>
    <t>GECON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</si>
</sst>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&quot;.&quot;00"/>
    <numFmt numFmtId="168" formatCode="0.0000"/>
    <numFmt numFmtId="169" formatCode="0.000"/>
    <numFmt numFmtId="170" formatCode="_-* #,##0.0000_-;\-* #,##0.0000_-;_-* &quot;-&quot;??_-;_-@_-"/>
    <numFmt numFmtId="171" formatCode="#,##0.0000_ ;\-#,##0.0000\ "/>
  </numFmts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 Narrow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333333"/>
      <name val="Arial"/>
      <family val="2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333333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 Narrow"/>
      <family val="2"/>
    </font>
    <font>
      <b/>
      <i/>
      <sz val="12"/>
      <color rgb="FF000000"/>
      <name val="Cambria"/>
      <family val="1"/>
    </font>
    <font>
      <b/>
      <i/>
      <sz val="14"/>
      <color rgb="FF000000"/>
      <name val="Cambria"/>
      <family val="1"/>
    </font>
    <font>
      <b/>
      <sz val="14"/>
      <color rgb="FF000000"/>
      <name val="Cambria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956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8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10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</cellStyleXfs>
  <cellXfs count="603">
    <xf numFmtId="0" fontId="0" fillId="0" borderId="0" xfId="0"/>
    <xf numFmtId="0" fontId="4" fillId="0" borderId="0" xfId="247" applyFont="1" applyFill="1" applyAlignment="1">
      <alignment vertical="center" wrapText="1"/>
    </xf>
    <xf numFmtId="165" fontId="9" fillId="0" borderId="0" xfId="378" applyFont="1" applyFill="1" applyAlignment="1">
      <alignment vertical="center" wrapText="1"/>
    </xf>
    <xf numFmtId="165" fontId="4" fillId="0" borderId="0" xfId="378" applyFont="1" applyFill="1" applyAlignment="1">
      <alignment vertical="center" wrapText="1"/>
    </xf>
    <xf numFmtId="165" fontId="12" fillId="0" borderId="0" xfId="378" applyFont="1" applyFill="1"/>
    <xf numFmtId="0" fontId="12" fillId="0" borderId="0" xfId="247" applyFont="1" applyFill="1"/>
    <xf numFmtId="0" fontId="13" fillId="0" borderId="0" xfId="247" applyFont="1" applyFill="1"/>
    <xf numFmtId="165" fontId="13" fillId="0" borderId="0" xfId="378" applyFont="1" applyFill="1"/>
    <xf numFmtId="0" fontId="13" fillId="0" borderId="0" xfId="247" applyFont="1" applyFill="1" applyAlignment="1">
      <alignment horizontal="center"/>
    </xf>
    <xf numFmtId="165" fontId="14" fillId="0" borderId="0" xfId="378" applyFont="1" applyFill="1"/>
    <xf numFmtId="0" fontId="15" fillId="0" borderId="0" xfId="247" applyFont="1" applyFill="1" applyAlignment="1">
      <alignment horizontal="center"/>
    </xf>
    <xf numFmtId="0" fontId="15" fillId="0" borderId="0" xfId="247" applyFont="1" applyAlignment="1">
      <alignment horizontal="left"/>
    </xf>
    <xf numFmtId="0" fontId="12" fillId="0" borderId="0" xfId="247" applyFont="1" applyFill="1" applyAlignment="1">
      <alignment horizontal="center"/>
    </xf>
    <xf numFmtId="0" fontId="12" fillId="0" borderId="0" xfId="247" applyFont="1" applyAlignment="1">
      <alignment horizontal="left"/>
    </xf>
    <xf numFmtId="0" fontId="15" fillId="0" borderId="0" xfId="247" applyFont="1" applyFill="1"/>
    <xf numFmtId="0" fontId="15" fillId="0" borderId="0" xfId="247" applyFont="1" applyFill="1" applyAlignment="1">
      <alignment horizontal="center" vertical="top"/>
    </xf>
    <xf numFmtId="0" fontId="15" fillId="0" borderId="0" xfId="247" applyFont="1" applyFill="1" applyAlignment="1">
      <alignment horizontal="justify" vertical="top"/>
    </xf>
    <xf numFmtId="0" fontId="12" fillId="0" borderId="0" xfId="247" applyFont="1" applyFill="1" applyAlignment="1">
      <alignment horizontal="justify" vertical="top"/>
    </xf>
    <xf numFmtId="165" fontId="15" fillId="0" borderId="0" xfId="378" applyFont="1" applyFill="1"/>
    <xf numFmtId="0" fontId="12" fillId="0" borderId="0" xfId="247" applyFont="1" applyFill="1" applyAlignment="1"/>
    <xf numFmtId="0" fontId="13" fillId="0" borderId="0" xfId="247" applyFont="1" applyFill="1" applyAlignment="1"/>
    <xf numFmtId="0" fontId="8" fillId="2" borderId="0" xfId="0" applyFont="1" applyFill="1" applyAlignment="1">
      <alignment vertical="center" wrapText="1"/>
    </xf>
    <xf numFmtId="0" fontId="8" fillId="2" borderId="0" xfId="0" applyNumberFormat="1" applyFont="1" applyFill="1" applyAlignment="1">
      <alignment horizontal="center" vertical="center" wrapText="1"/>
    </xf>
    <xf numFmtId="165" fontId="8" fillId="2" borderId="0" xfId="254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 wrapText="1"/>
    </xf>
    <xf numFmtId="165" fontId="8" fillId="0" borderId="0" xfId="254" applyFont="1" applyFill="1" applyAlignment="1">
      <alignment vertical="center" wrapText="1"/>
    </xf>
    <xf numFmtId="0" fontId="25" fillId="0" borderId="0" xfId="159"/>
    <xf numFmtId="0" fontId="25" fillId="5" borderId="1" xfId="159" applyFill="1" applyBorder="1"/>
    <xf numFmtId="0" fontId="25" fillId="5" borderId="2" xfId="159" applyFill="1" applyBorder="1"/>
    <xf numFmtId="0" fontId="26" fillId="5" borderId="1" xfId="159" applyFont="1" applyFill="1" applyBorder="1" applyAlignment="1">
      <alignment vertical="center"/>
    </xf>
    <xf numFmtId="0" fontId="26" fillId="5" borderId="2" xfId="159" applyFont="1" applyFill="1" applyBorder="1" applyAlignment="1">
      <alignment vertical="center"/>
    </xf>
    <xf numFmtId="0" fontId="27" fillId="5" borderId="2" xfId="159" applyFont="1" applyFill="1" applyBorder="1" applyAlignment="1">
      <alignment horizontal="left" vertical="center"/>
    </xf>
    <xf numFmtId="0" fontId="27" fillId="5" borderId="2" xfId="159" applyFont="1" applyFill="1" applyBorder="1" applyAlignment="1">
      <alignment horizontal="left" vertical="center" indent="10"/>
    </xf>
    <xf numFmtId="0" fontId="25" fillId="5" borderId="3" xfId="159" applyFill="1" applyBorder="1"/>
    <xf numFmtId="0" fontId="25" fillId="5" borderId="4" xfId="159" applyFill="1" applyBorder="1"/>
    <xf numFmtId="0" fontId="25" fillId="5" borderId="0" xfId="159" applyFill="1" applyBorder="1"/>
    <xf numFmtId="0" fontId="26" fillId="5" borderId="4" xfId="159" applyFont="1" applyFill="1" applyBorder="1" applyAlignment="1">
      <alignment vertical="center"/>
    </xf>
    <xf numFmtId="0" fontId="26" fillId="5" borderId="0" xfId="159" applyFont="1" applyFill="1" applyBorder="1" applyAlignment="1">
      <alignment vertical="center"/>
    </xf>
    <xf numFmtId="0" fontId="27" fillId="5" borderId="0" xfId="159" applyFont="1" applyFill="1" applyBorder="1" applyAlignment="1">
      <alignment horizontal="left" vertical="center"/>
    </xf>
    <xf numFmtId="0" fontId="27" fillId="5" borderId="0" xfId="159" applyFont="1" applyFill="1" applyBorder="1" applyAlignment="1">
      <alignment horizontal="left" vertical="center" indent="10"/>
    </xf>
    <xf numFmtId="0" fontId="25" fillId="5" borderId="5" xfId="159" applyFill="1" applyBorder="1"/>
    <xf numFmtId="0" fontId="25" fillId="5" borderId="6" xfId="159" applyFill="1" applyBorder="1"/>
    <xf numFmtId="0" fontId="25" fillId="5" borderId="7" xfId="159" applyFill="1" applyBorder="1"/>
    <xf numFmtId="0" fontId="28" fillId="5" borderId="6" xfId="159" applyFont="1" applyFill="1" applyBorder="1" applyAlignment="1">
      <alignment vertical="center"/>
    </xf>
    <xf numFmtId="0" fontId="28" fillId="5" borderId="7" xfId="159" applyFont="1" applyFill="1" applyBorder="1" applyAlignment="1">
      <alignment vertical="center"/>
    </xf>
    <xf numFmtId="0" fontId="29" fillId="5" borderId="7" xfId="159" applyFont="1" applyFill="1" applyBorder="1" applyAlignment="1">
      <alignment horizontal="left" vertical="center"/>
    </xf>
    <xf numFmtId="0" fontId="29" fillId="5" borderId="7" xfId="159" applyFont="1" applyFill="1" applyBorder="1" applyAlignment="1">
      <alignment horizontal="left" vertical="center" indent="10"/>
    </xf>
    <xf numFmtId="0" fontId="25" fillId="5" borderId="8" xfId="159" applyFill="1" applyBorder="1"/>
    <xf numFmtId="0" fontId="25" fillId="0" borderId="8" xfId="159" applyBorder="1"/>
    <xf numFmtId="0" fontId="25" fillId="0" borderId="7" xfId="159" applyBorder="1"/>
    <xf numFmtId="0" fontId="25" fillId="0" borderId="6" xfId="159" applyBorder="1"/>
    <xf numFmtId="0" fontId="25" fillId="0" borderId="5" xfId="159" applyBorder="1"/>
    <xf numFmtId="0" fontId="25" fillId="0" borderId="0" xfId="159" applyBorder="1"/>
    <xf numFmtId="0" fontId="25" fillId="0" borderId="4" xfId="159" applyBorder="1"/>
    <xf numFmtId="0" fontId="25" fillId="0" borderId="3" xfId="159" applyBorder="1"/>
    <xf numFmtId="0" fontId="25" fillId="0" borderId="2" xfId="159" applyBorder="1"/>
    <xf numFmtId="0" fontId="25" fillId="0" borderId="1" xfId="159" applyBorder="1"/>
    <xf numFmtId="0" fontId="30" fillId="0" borderId="2" xfId="159" applyFont="1" applyBorder="1" applyAlignment="1">
      <alignment horizontal="right" vertical="center"/>
    </xf>
    <xf numFmtId="170" fontId="30" fillId="0" borderId="2" xfId="380" applyNumberFormat="1" applyFont="1" applyBorder="1" applyAlignment="1">
      <alignment horizontal="left" vertical="center"/>
    </xf>
    <xf numFmtId="0" fontId="30" fillId="0" borderId="2" xfId="159" applyFont="1" applyBorder="1" applyAlignment="1">
      <alignment vertical="center"/>
    </xf>
    <xf numFmtId="170" fontId="30" fillId="0" borderId="2" xfId="380" applyNumberFormat="1" applyFont="1" applyBorder="1" applyAlignment="1">
      <alignment vertical="center"/>
    </xf>
    <xf numFmtId="0" fontId="30" fillId="0" borderId="2" xfId="159" applyFont="1" applyBorder="1" applyAlignment="1">
      <alignment horizontal="center" vertical="center"/>
    </xf>
    <xf numFmtId="0" fontId="30" fillId="0" borderId="0" xfId="159" applyFont="1" applyBorder="1" applyAlignment="1">
      <alignment vertical="center"/>
    </xf>
    <xf numFmtId="0" fontId="30" fillId="0" borderId="7" xfId="159" applyFont="1" applyBorder="1" applyAlignment="1">
      <alignment horizontal="right" vertical="center"/>
    </xf>
    <xf numFmtId="0" fontId="30" fillId="0" borderId="7" xfId="159" applyFont="1" applyBorder="1" applyAlignment="1">
      <alignment vertical="center"/>
    </xf>
    <xf numFmtId="170" fontId="30" fillId="0" borderId="7" xfId="380" applyNumberFormat="1" applyFont="1" applyBorder="1" applyAlignment="1">
      <alignment vertical="center"/>
    </xf>
    <xf numFmtId="170" fontId="30" fillId="0" borderId="7" xfId="380" applyNumberFormat="1" applyFont="1" applyBorder="1" applyAlignment="1">
      <alignment horizontal="center" vertical="center"/>
    </xf>
    <xf numFmtId="0" fontId="31" fillId="0" borderId="5" xfId="159" applyFont="1" applyBorder="1"/>
    <xf numFmtId="0" fontId="31" fillId="0" borderId="0" xfId="159" applyFont="1" applyBorder="1"/>
    <xf numFmtId="0" fontId="31" fillId="0" borderId="4" xfId="159" applyFont="1" applyBorder="1"/>
    <xf numFmtId="0" fontId="32" fillId="0" borderId="0" xfId="159" applyFont="1" applyBorder="1"/>
    <xf numFmtId="0" fontId="32" fillId="0" borderId="4" xfId="159" applyFont="1" applyBorder="1"/>
    <xf numFmtId="0" fontId="3" fillId="0" borderId="0" xfId="4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167" fontId="4" fillId="0" borderId="9" xfId="3" applyNumberFormat="1" applyFont="1" applyFill="1" applyBorder="1" applyAlignment="1">
      <alignment vertical="center" wrapText="1"/>
    </xf>
    <xf numFmtId="0" fontId="19" fillId="0" borderId="7" xfId="3" applyNumberFormat="1" applyFont="1" applyFill="1" applyBorder="1" applyAlignment="1">
      <alignment vertical="center" wrapText="1"/>
    </xf>
    <xf numFmtId="0" fontId="19" fillId="0" borderId="0" xfId="3" applyNumberFormat="1" applyFont="1" applyFill="1" applyBorder="1" applyAlignment="1">
      <alignment vertical="center" wrapText="1"/>
    </xf>
    <xf numFmtId="167" fontId="4" fillId="0" borderId="7" xfId="3" applyNumberFormat="1" applyFont="1" applyFill="1" applyBorder="1" applyAlignment="1">
      <alignment vertical="center" wrapText="1"/>
    </xf>
    <xf numFmtId="2" fontId="33" fillId="7" borderId="0" xfId="0" applyNumberFormat="1" applyFont="1" applyFill="1" applyBorder="1" applyAlignment="1">
      <alignment vertical="center" wrapText="1"/>
    </xf>
    <xf numFmtId="0" fontId="33" fillId="7" borderId="0" xfId="0" applyFont="1" applyFill="1" applyBorder="1" applyAlignment="1">
      <alignment vertical="center" wrapText="1"/>
    </xf>
    <xf numFmtId="0" fontId="33" fillId="7" borderId="0" xfId="0" applyFont="1" applyFill="1" applyBorder="1" applyAlignment="1">
      <alignment horizontal="right" vertical="center"/>
    </xf>
    <xf numFmtId="0" fontId="33" fillId="7" borderId="4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2" fontId="35" fillId="0" borderId="4" xfId="0" applyNumberFormat="1" applyFont="1" applyBorder="1" applyAlignment="1">
      <alignment horizontal="right" vertical="center" wrapText="1"/>
    </xf>
    <xf numFmtId="2" fontId="33" fillId="0" borderId="4" xfId="0" applyNumberFormat="1" applyFont="1" applyBorder="1" applyAlignment="1">
      <alignment horizontal="right" vertical="center" wrapText="1"/>
    </xf>
    <xf numFmtId="2" fontId="35" fillId="7" borderId="4" xfId="0" applyNumberFormat="1" applyFont="1" applyFill="1" applyBorder="1" applyAlignment="1">
      <alignment horizontal="right" vertical="center" wrapText="1"/>
    </xf>
    <xf numFmtId="2" fontId="33" fillId="7" borderId="1" xfId="0" applyNumberFormat="1" applyFont="1" applyFill="1" applyBorder="1" applyAlignment="1">
      <alignment horizontal="right" vertical="center" wrapText="1"/>
    </xf>
    <xf numFmtId="2" fontId="35" fillId="0" borderId="0" xfId="0" applyNumberFormat="1" applyFont="1" applyBorder="1" applyAlignment="1">
      <alignment horizontal="right" vertical="center" wrapText="1"/>
    </xf>
    <xf numFmtId="0" fontId="18" fillId="0" borderId="0" xfId="159" applyFont="1" applyFill="1" applyBorder="1" applyAlignment="1">
      <alignment vertical="center" wrapText="1"/>
    </xf>
    <xf numFmtId="0" fontId="19" fillId="0" borderId="0" xfId="159" applyFont="1" applyFill="1" applyBorder="1" applyAlignment="1">
      <alignment vertical="center" wrapText="1"/>
    </xf>
    <xf numFmtId="0" fontId="19" fillId="6" borderId="0" xfId="3" applyNumberFormat="1" applyFont="1" applyFill="1" applyBorder="1" applyAlignment="1">
      <alignment vertical="center" wrapText="1"/>
    </xf>
    <xf numFmtId="0" fontId="3" fillId="0" borderId="0" xfId="247" applyFont="1" applyFill="1" applyBorder="1" applyAlignment="1">
      <alignment vertical="center"/>
    </xf>
    <xf numFmtId="0" fontId="3" fillId="0" borderId="2" xfId="247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36" fillId="0" borderId="0" xfId="0" applyNumberFormat="1" applyFont="1" applyFill="1" applyBorder="1" applyAlignment="1">
      <alignment vertical="center" wrapText="1"/>
    </xf>
    <xf numFmtId="167" fontId="37" fillId="0" borderId="0" xfId="3" applyNumberFormat="1" applyFont="1" applyFill="1" applyBorder="1" applyAlignment="1">
      <alignment vertical="center" wrapText="1"/>
    </xf>
    <xf numFmtId="0" fontId="35" fillId="6" borderId="5" xfId="0" applyFont="1" applyFill="1" applyBorder="1" applyAlignment="1">
      <alignment horizontal="right" vertical="center" wrapText="1"/>
    </xf>
    <xf numFmtId="0" fontId="35" fillId="6" borderId="0" xfId="0" applyFont="1" applyFill="1" applyBorder="1" applyAlignment="1">
      <alignment horizontal="right" vertical="center" wrapText="1"/>
    </xf>
    <xf numFmtId="2" fontId="33" fillId="6" borderId="4" xfId="0" applyNumberFormat="1" applyFont="1" applyFill="1" applyBorder="1" applyAlignment="1">
      <alignment horizontal="right" vertical="center" wrapText="1"/>
    </xf>
    <xf numFmtId="0" fontId="33" fillId="6" borderId="8" xfId="0" applyFont="1" applyFill="1" applyBorder="1" applyAlignment="1">
      <alignment horizontal="left" vertical="center" wrapText="1"/>
    </xf>
    <xf numFmtId="0" fontId="33" fillId="6" borderId="7" xfId="0" applyFont="1" applyFill="1" applyBorder="1" applyAlignment="1">
      <alignment horizontal="left" vertical="center" wrapText="1"/>
    </xf>
    <xf numFmtId="0" fontId="33" fillId="6" borderId="7" xfId="0" applyFont="1" applyFill="1" applyBorder="1" applyAlignment="1">
      <alignment horizontal="right" vertical="center" wrapText="1"/>
    </xf>
    <xf numFmtId="0" fontId="33" fillId="6" borderId="6" xfId="0" applyFont="1" applyFill="1" applyBorder="1" applyAlignment="1">
      <alignment horizontal="right" vertical="center" wrapText="1"/>
    </xf>
    <xf numFmtId="2" fontId="6" fillId="7" borderId="0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/>
    </xf>
    <xf numFmtId="0" fontId="34" fillId="8" borderId="5" xfId="145" applyFont="1" applyFill="1" applyBorder="1" applyAlignment="1">
      <alignment horizontal="center" vertical="center" wrapText="1"/>
    </xf>
    <xf numFmtId="0" fontId="34" fillId="8" borderId="0" xfId="145" applyFont="1" applyFill="1" applyBorder="1" applyAlignment="1">
      <alignment horizontal="center" vertical="center" wrapText="1"/>
    </xf>
    <xf numFmtId="0" fontId="34" fillId="8" borderId="4" xfId="14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4" xfId="0" applyNumberFormat="1" applyFont="1" applyBorder="1" applyAlignment="1">
      <alignment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2" fontId="6" fillId="6" borderId="4" xfId="0" applyNumberFormat="1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wrapText="1"/>
    </xf>
    <xf numFmtId="2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horizontal="right" wrapText="1"/>
    </xf>
    <xf numFmtId="0" fontId="35" fillId="0" borderId="5" xfId="0" applyFont="1" applyBorder="1" applyAlignment="1">
      <alignment horizont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2" fontId="35" fillId="0" borderId="0" xfId="0" applyNumberFormat="1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10" fontId="6" fillId="6" borderId="7" xfId="253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right" vertical="center" wrapText="1"/>
    </xf>
    <xf numFmtId="10" fontId="33" fillId="6" borderId="7" xfId="253" applyNumberFormat="1" applyFont="1" applyFill="1" applyBorder="1" applyAlignment="1">
      <alignment horizontal="center" vertical="center" wrapText="1"/>
    </xf>
    <xf numFmtId="2" fontId="33" fillId="6" borderId="1" xfId="0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43" fontId="8" fillId="6" borderId="0" xfId="0" applyNumberFormat="1" applyFont="1" applyFill="1" applyBorder="1" applyAlignment="1">
      <alignment horizontal="center" vertical="center" wrapText="1"/>
    </xf>
    <xf numFmtId="165" fontId="8" fillId="6" borderId="0" xfId="381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167" fontId="4" fillId="6" borderId="0" xfId="3" applyNumberFormat="1" applyFont="1" applyFill="1" applyBorder="1" applyAlignment="1">
      <alignment horizontal="left" vertical="center" wrapText="1"/>
    </xf>
    <xf numFmtId="167" fontId="18" fillId="6" borderId="0" xfId="3" applyNumberFormat="1" applyFont="1" applyFill="1" applyBorder="1" applyAlignment="1">
      <alignment horizontal="left" vertical="center" wrapText="1"/>
    </xf>
    <xf numFmtId="167" fontId="4" fillId="6" borderId="7" xfId="3" applyNumberFormat="1" applyFont="1" applyFill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/>
    </xf>
    <xf numFmtId="166" fontId="40" fillId="0" borderId="0" xfId="254" applyNumberFormat="1" applyFont="1" applyBorder="1"/>
    <xf numFmtId="166" fontId="23" fillId="0" borderId="0" xfId="254" applyNumberFormat="1" applyFont="1" applyBorder="1"/>
    <xf numFmtId="169" fontId="35" fillId="0" borderId="0" xfId="0" applyNumberFormat="1" applyFont="1" applyBorder="1" applyAlignment="1">
      <alignment horizontal="right" vertical="center" wrapText="1"/>
    </xf>
    <xf numFmtId="2" fontId="33" fillId="7" borderId="0" xfId="0" applyNumberFormat="1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6" borderId="5" xfId="0" applyFont="1" applyFill="1" applyBorder="1" applyAlignment="1">
      <alignment horizontal="center" wrapText="1"/>
    </xf>
    <xf numFmtId="0" fontId="35" fillId="6" borderId="0" xfId="0" applyFont="1" applyFill="1" applyBorder="1" applyAlignment="1">
      <alignment horizontal="left" wrapText="1"/>
    </xf>
    <xf numFmtId="0" fontId="35" fillId="6" borderId="0" xfId="0" applyFont="1" applyFill="1" applyBorder="1" applyAlignment="1">
      <alignment horizontal="center" wrapText="1"/>
    </xf>
    <xf numFmtId="0" fontId="35" fillId="6" borderId="0" xfId="0" applyFont="1" applyFill="1" applyBorder="1" applyAlignment="1">
      <alignment horizontal="right" wrapText="1"/>
    </xf>
    <xf numFmtId="168" fontId="35" fillId="6" borderId="0" xfId="0" applyNumberFormat="1" applyFont="1" applyFill="1" applyBorder="1" applyAlignment="1">
      <alignment horizontal="right" wrapText="1"/>
    </xf>
    <xf numFmtId="2" fontId="35" fillId="6" borderId="0" xfId="0" applyNumberFormat="1" applyFont="1" applyFill="1" applyBorder="1" applyAlignment="1">
      <alignment horizontal="right" wrapText="1"/>
    </xf>
    <xf numFmtId="2" fontId="35" fillId="6" borderId="4" xfId="0" applyNumberFormat="1" applyFont="1" applyFill="1" applyBorder="1" applyAlignment="1">
      <alignment horizontal="right" vertical="center" wrapText="1"/>
    </xf>
    <xf numFmtId="0" fontId="35" fillId="6" borderId="5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right" vertical="center" wrapText="1"/>
    </xf>
    <xf numFmtId="2" fontId="4" fillId="6" borderId="0" xfId="0" applyNumberFormat="1" applyFont="1" applyFill="1" applyBorder="1"/>
    <xf numFmtId="2" fontId="4" fillId="6" borderId="0" xfId="0" applyNumberFormat="1" applyFont="1" applyFill="1" applyBorder="1" applyAlignment="1">
      <alignment horizontal="right" vertical="center" wrapText="1"/>
    </xf>
    <xf numFmtId="0" fontId="4" fillId="6" borderId="0" xfId="0" applyFont="1" applyFill="1" applyAlignment="1">
      <alignment vertical="center" wrapText="1"/>
    </xf>
    <xf numFmtId="0" fontId="41" fillId="6" borderId="0" xfId="3" applyNumberFormat="1" applyFont="1" applyFill="1" applyBorder="1" applyAlignment="1">
      <alignment vertical="center" wrapText="1"/>
    </xf>
    <xf numFmtId="0" fontId="42" fillId="6" borderId="0" xfId="0" applyFont="1" applyFill="1" applyAlignment="1">
      <alignment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right" vertical="center" wrapText="1"/>
    </xf>
    <xf numFmtId="2" fontId="4" fillId="6" borderId="0" xfId="0" applyNumberFormat="1" applyFont="1" applyFill="1" applyBorder="1" applyAlignment="1">
      <alignment vertical="center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35" fillId="0" borderId="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35" fillId="6" borderId="0" xfId="0" applyFont="1" applyFill="1" applyBorder="1" applyAlignment="1">
      <alignment horizontal="center" vertical="center" wrapText="1"/>
    </xf>
    <xf numFmtId="2" fontId="35" fillId="6" borderId="0" xfId="0" applyNumberFormat="1" applyFont="1" applyFill="1" applyBorder="1" applyAlignment="1">
      <alignment horizontal="right" vertical="center" wrapText="1"/>
    </xf>
    <xf numFmtId="0" fontId="38" fillId="0" borderId="0" xfId="0" applyFont="1" applyBorder="1" applyAlignment="1">
      <alignment horizontal="left" vertical="center" wrapText="1"/>
    </xf>
    <xf numFmtId="0" fontId="33" fillId="7" borderId="8" xfId="0" applyFont="1" applyFill="1" applyBorder="1" applyAlignment="1">
      <alignment horizontal="left" vertical="center" wrapText="1"/>
    </xf>
    <xf numFmtId="0" fontId="33" fillId="7" borderId="7" xfId="0" applyFont="1" applyFill="1" applyBorder="1" applyAlignment="1">
      <alignment horizontal="left" vertical="center" wrapText="1"/>
    </xf>
    <xf numFmtId="10" fontId="33" fillId="7" borderId="7" xfId="253" applyNumberFormat="1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right" vertical="center" wrapText="1"/>
    </xf>
    <xf numFmtId="0" fontId="33" fillId="7" borderId="6" xfId="0" applyFont="1" applyFill="1" applyBorder="1" applyAlignment="1">
      <alignment horizontal="right" vertical="center" wrapText="1"/>
    </xf>
    <xf numFmtId="2" fontId="33" fillId="7" borderId="4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4" xfId="0" applyBorder="1"/>
    <xf numFmtId="0" fontId="8" fillId="0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3" fillId="0" borderId="16" xfId="247" applyFont="1" applyFill="1" applyBorder="1" applyAlignment="1">
      <alignment vertical="center"/>
    </xf>
    <xf numFmtId="165" fontId="22" fillId="9" borderId="0" xfId="255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165" fontId="22" fillId="9" borderId="18" xfId="255" applyFont="1" applyFill="1" applyBorder="1" applyAlignment="1">
      <alignment vertical="center" wrapText="1"/>
    </xf>
    <xf numFmtId="165" fontId="22" fillId="9" borderId="31" xfId="255" applyFont="1" applyFill="1" applyBorder="1" applyAlignment="1">
      <alignment horizontal="center" vertical="center"/>
    </xf>
    <xf numFmtId="165" fontId="12" fillId="0" borderId="0" xfId="378" applyFont="1" applyFill="1" applyAlignment="1"/>
    <xf numFmtId="0" fontId="21" fillId="0" borderId="0" xfId="0" applyFont="1" applyAlignment="1">
      <alignment vertical="center"/>
    </xf>
    <xf numFmtId="0" fontId="18" fillId="0" borderId="0" xfId="382" applyFont="1" applyFill="1" applyBorder="1" applyAlignment="1">
      <alignment vertical="center"/>
    </xf>
    <xf numFmtId="165" fontId="13" fillId="0" borderId="0" xfId="378" applyFont="1" applyFill="1" applyAlignment="1"/>
    <xf numFmtId="0" fontId="0" fillId="0" borderId="0" xfId="159" applyFont="1"/>
    <xf numFmtId="165" fontId="18" fillId="0" borderId="12" xfId="254" applyFont="1" applyFill="1" applyBorder="1" applyAlignment="1" applyProtection="1">
      <alignment horizontal="center" vertical="center" wrapText="1"/>
    </xf>
    <xf numFmtId="10" fontId="18" fillId="0" borderId="12" xfId="250" applyNumberFormat="1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wrapText="1"/>
    </xf>
    <xf numFmtId="0" fontId="22" fillId="2" borderId="9" xfId="0" applyFont="1" applyFill="1" applyBorder="1" applyAlignment="1">
      <alignment wrapText="1"/>
    </xf>
    <xf numFmtId="164" fontId="22" fillId="0" borderId="12" xfId="1" applyFont="1" applyFill="1" applyBorder="1" applyAlignment="1">
      <alignment horizontal="right" vertical="center"/>
    </xf>
    <xf numFmtId="0" fontId="23" fillId="6" borderId="14" xfId="4" applyFont="1" applyFill="1" applyBorder="1" applyAlignment="1">
      <alignment horizontal="center" vertical="center" wrapText="1"/>
    </xf>
    <xf numFmtId="0" fontId="23" fillId="6" borderId="10" xfId="4" applyFont="1" applyFill="1" applyBorder="1" applyAlignment="1">
      <alignment horizontal="center" vertical="center" wrapText="1"/>
    </xf>
    <xf numFmtId="0" fontId="23" fillId="6" borderId="12" xfId="4" applyFont="1" applyFill="1" applyBorder="1" applyAlignment="1">
      <alignment horizontal="center" vertical="center"/>
    </xf>
    <xf numFmtId="164" fontId="3" fillId="6" borderId="12" xfId="1" applyFont="1" applyFill="1" applyBorder="1" applyAlignment="1">
      <alignment vertical="center" wrapText="1"/>
    </xf>
    <xf numFmtId="164" fontId="3" fillId="6" borderId="12" xfId="1" applyNumberFormat="1" applyFont="1" applyFill="1" applyBorder="1" applyAlignment="1">
      <alignment vertical="center"/>
    </xf>
    <xf numFmtId="0" fontId="49" fillId="11" borderId="0" xfId="0" applyFont="1" applyFill="1" applyAlignment="1">
      <alignment vertical="center" wrapText="1"/>
    </xf>
    <xf numFmtId="0" fontId="21" fillId="2" borderId="0" xfId="0" applyFont="1" applyFill="1" applyAlignment="1">
      <alignment wrapText="1"/>
    </xf>
    <xf numFmtId="0" fontId="50" fillId="11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49" fillId="0" borderId="0" xfId="0" applyFont="1" applyFill="1" applyAlignment="1">
      <alignment vertical="center" wrapText="1"/>
    </xf>
    <xf numFmtId="0" fontId="49" fillId="0" borderId="0" xfId="0" applyFont="1" applyFill="1" applyAlignment="1">
      <alignment wrapText="1"/>
    </xf>
    <xf numFmtId="0" fontId="5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51" fillId="0" borderId="0" xfId="0" applyFont="1" applyBorder="1"/>
    <xf numFmtId="0" fontId="51" fillId="0" borderId="0" xfId="0" applyFont="1"/>
    <xf numFmtId="0" fontId="52" fillId="0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vertical="center" wrapText="1"/>
    </xf>
    <xf numFmtId="0" fontId="51" fillId="6" borderId="0" xfId="0" applyFont="1" applyFill="1" applyBorder="1"/>
    <xf numFmtId="0" fontId="39" fillId="0" borderId="0" xfId="0" applyFont="1"/>
    <xf numFmtId="0" fontId="39" fillId="0" borderId="4" xfId="0" applyFont="1" applyBorder="1"/>
    <xf numFmtId="0" fontId="54" fillId="0" borderId="0" xfId="0" applyFont="1" applyFill="1" applyBorder="1" applyAlignment="1">
      <alignment vertical="center"/>
    </xf>
    <xf numFmtId="0" fontId="53" fillId="6" borderId="0" xfId="0" applyFont="1" applyFill="1" applyBorder="1" applyAlignment="1">
      <alignment horizontal="center" vertical="center"/>
    </xf>
    <xf numFmtId="0" fontId="53" fillId="6" borderId="4" xfId="0" applyFont="1" applyFill="1" applyBorder="1" applyAlignment="1">
      <alignment horizontal="center" vertical="center"/>
    </xf>
    <xf numFmtId="0" fontId="21" fillId="6" borderId="0" xfId="0" applyFont="1" applyFill="1" applyAlignment="1">
      <alignment vertical="center" wrapText="1"/>
    </xf>
    <xf numFmtId="0" fontId="54" fillId="6" borderId="0" xfId="0" applyFont="1" applyFill="1" applyBorder="1" applyAlignment="1">
      <alignment vertical="center"/>
    </xf>
    <xf numFmtId="0" fontId="39" fillId="0" borderId="18" xfId="0" applyFont="1" applyBorder="1" applyAlignment="1">
      <alignment horizontal="left" wrapText="1"/>
    </xf>
    <xf numFmtId="0" fontId="39" fillId="0" borderId="0" xfId="0" applyFont="1" applyBorder="1" applyAlignment="1">
      <alignment horizontal="center" wrapText="1"/>
    </xf>
    <xf numFmtId="0" fontId="39" fillId="0" borderId="0" xfId="0" applyFont="1" applyFill="1" applyBorder="1" applyAlignment="1">
      <alignment wrapText="1"/>
    </xf>
    <xf numFmtId="2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2" fontId="53" fillId="0" borderId="31" xfId="0" applyNumberFormat="1" applyFont="1" applyBorder="1" applyAlignment="1">
      <alignment horizontal="center" vertical="center"/>
    </xf>
    <xf numFmtId="2" fontId="39" fillId="0" borderId="31" xfId="0" applyNumberFormat="1" applyFont="1" applyBorder="1" applyAlignment="1">
      <alignment horizontal="center" vertical="center"/>
    </xf>
    <xf numFmtId="165" fontId="22" fillId="9" borderId="18" xfId="255" applyFont="1" applyFill="1" applyBorder="1" applyAlignment="1">
      <alignment horizontal="left" vertical="center" wrapText="1"/>
    </xf>
    <xf numFmtId="165" fontId="22" fillId="9" borderId="0" xfId="255" applyFont="1" applyFill="1" applyBorder="1" applyAlignment="1">
      <alignment horizontal="left" vertical="center" wrapText="1"/>
    </xf>
    <xf numFmtId="0" fontId="39" fillId="0" borderId="18" xfId="0" applyFont="1" applyBorder="1" applyAlignment="1">
      <alignment vertical="center" wrapText="1"/>
    </xf>
    <xf numFmtId="0" fontId="35" fillId="0" borderId="5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0" borderId="5" xfId="0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center"/>
    </xf>
    <xf numFmtId="1" fontId="4" fillId="0" borderId="5" xfId="0" quotePrefix="1" applyNumberFormat="1" applyFont="1" applyFill="1" applyBorder="1" applyAlignment="1">
      <alignment horizontal="center" vertical="center"/>
    </xf>
    <xf numFmtId="0" fontId="39" fillId="0" borderId="0" xfId="0" applyFont="1" applyBorder="1"/>
    <xf numFmtId="0" fontId="39" fillId="0" borderId="18" xfId="0" applyFont="1" applyBorder="1"/>
    <xf numFmtId="0" fontId="39" fillId="0" borderId="31" xfId="0" applyFont="1" applyBorder="1"/>
    <xf numFmtId="0" fontId="39" fillId="0" borderId="24" xfId="0" applyFont="1" applyBorder="1"/>
    <xf numFmtId="0" fontId="39" fillId="0" borderId="25" xfId="0" applyFont="1" applyBorder="1"/>
    <xf numFmtId="0" fontId="39" fillId="0" borderId="26" xfId="0" applyFont="1" applyBorder="1"/>
    <xf numFmtId="0" fontId="23" fillId="6" borderId="10" xfId="4" quotePrefix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top" wrapText="1"/>
    </xf>
    <xf numFmtId="165" fontId="23" fillId="6" borderId="12" xfId="257" applyFont="1" applyFill="1" applyBorder="1" applyAlignment="1">
      <alignment horizontal="right" vertical="center"/>
    </xf>
    <xf numFmtId="0" fontId="3" fillId="0" borderId="12" xfId="381" applyNumberFormat="1" applyFont="1" applyFill="1" applyBorder="1" applyAlignment="1">
      <alignment vertical="top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wrapText="1"/>
    </xf>
    <xf numFmtId="0" fontId="18" fillId="2" borderId="9" xfId="0" applyFont="1" applyFill="1" applyBorder="1" applyAlignment="1">
      <alignment wrapText="1"/>
    </xf>
    <xf numFmtId="164" fontId="18" fillId="0" borderId="12" xfId="1" applyFont="1" applyFill="1" applyBorder="1" applyAlignment="1">
      <alignment horizontal="right" vertical="center"/>
    </xf>
    <xf numFmtId="0" fontId="17" fillId="6" borderId="0" xfId="382" applyFont="1" applyFill="1" applyBorder="1" applyAlignment="1">
      <alignment vertical="center" wrapText="1"/>
    </xf>
    <xf numFmtId="0" fontId="11" fillId="0" borderId="0" xfId="382" applyFont="1" applyFill="1" applyBorder="1" applyAlignment="1">
      <alignment vertical="center" wrapText="1"/>
    </xf>
    <xf numFmtId="165" fontId="22" fillId="9" borderId="0" xfId="255" applyFont="1" applyFill="1" applyBorder="1" applyAlignment="1">
      <alignment horizontal="center" vertical="center" wrapText="1"/>
    </xf>
    <xf numFmtId="0" fontId="18" fillId="0" borderId="0" xfId="382" applyFont="1" applyFill="1" applyBorder="1" applyAlignment="1">
      <alignment horizontal="center" vertical="center"/>
    </xf>
    <xf numFmtId="0" fontId="39" fillId="0" borderId="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165" fontId="22" fillId="9" borderId="0" xfId="255" applyFont="1" applyFill="1" applyBorder="1" applyAlignment="1">
      <alignment horizontal="center" vertical="center" wrapText="1"/>
    </xf>
    <xf numFmtId="167" fontId="11" fillId="0" borderId="0" xfId="4" applyNumberFormat="1" applyFont="1" applyFill="1" applyBorder="1" applyAlignment="1">
      <alignment wrapText="1"/>
    </xf>
    <xf numFmtId="0" fontId="11" fillId="0" borderId="0" xfId="247" applyFont="1" applyFill="1" applyAlignment="1"/>
    <xf numFmtId="0" fontId="11" fillId="0" borderId="0" xfId="247" applyFont="1" applyFill="1" applyBorder="1" applyAlignment="1">
      <alignment vertical="center" wrapText="1"/>
    </xf>
    <xf numFmtId="0" fontId="11" fillId="0" borderId="0" xfId="247" applyFont="1" applyFill="1"/>
    <xf numFmtId="0" fontId="18" fillId="0" borderId="12" xfId="247" applyFont="1" applyFill="1" applyBorder="1" applyAlignment="1">
      <alignment horizontal="center" vertical="center" wrapText="1"/>
    </xf>
    <xf numFmtId="0" fontId="18" fillId="0" borderId="12" xfId="247" applyFont="1" applyFill="1" applyBorder="1" applyAlignment="1">
      <alignment horizontal="left" vertical="center"/>
    </xf>
    <xf numFmtId="10" fontId="11" fillId="0" borderId="12" xfId="253" applyNumberFormat="1" applyFont="1" applyFill="1" applyBorder="1" applyAlignment="1">
      <alignment horizontal="center"/>
    </xf>
    <xf numFmtId="164" fontId="11" fillId="0" borderId="12" xfId="2" applyFont="1" applyFill="1" applyBorder="1" applyAlignment="1">
      <alignment horizontal="right"/>
    </xf>
    <xf numFmtId="9" fontId="11" fillId="0" borderId="12" xfId="253" applyNumberFormat="1" applyFont="1" applyFill="1" applyBorder="1" applyAlignment="1">
      <alignment horizontal="center"/>
    </xf>
    <xf numFmtId="164" fontId="55" fillId="0" borderId="0" xfId="247" applyNumberFormat="1" applyFont="1" applyFill="1" applyAlignment="1"/>
    <xf numFmtId="0" fontId="55" fillId="0" borderId="0" xfId="247" applyFont="1" applyFill="1" applyAlignment="1"/>
    <xf numFmtId="0" fontId="11" fillId="0" borderId="0" xfId="247" applyFont="1" applyFill="1" applyBorder="1" applyAlignment="1">
      <alignment horizontal="center" vertical="center" wrapText="1"/>
    </xf>
    <xf numFmtId="0" fontId="55" fillId="0" borderId="0" xfId="247" applyFont="1" applyFill="1" applyAlignment="1">
      <alignment horizontal="center" vertical="center"/>
    </xf>
    <xf numFmtId="0" fontId="11" fillId="0" borderId="0" xfId="247" applyFont="1" applyFill="1" applyAlignment="1">
      <alignment horizontal="center" vertical="center"/>
    </xf>
    <xf numFmtId="10" fontId="11" fillId="0" borderId="33" xfId="253" applyNumberFormat="1" applyFont="1" applyFill="1" applyBorder="1" applyAlignment="1">
      <alignment horizontal="center"/>
    </xf>
    <xf numFmtId="0" fontId="4" fillId="0" borderId="0" xfId="247" applyFont="1" applyFill="1" applyAlignment="1">
      <alignment horizontal="center" vertical="center" wrapText="1"/>
    </xf>
    <xf numFmtId="0" fontId="3" fillId="0" borderId="15" xfId="247" applyFont="1" applyFill="1" applyBorder="1" applyAlignment="1">
      <alignment horizontal="center" vertical="center"/>
    </xf>
    <xf numFmtId="0" fontId="3" fillId="0" borderId="18" xfId="247" applyFont="1" applyFill="1" applyBorder="1" applyAlignment="1">
      <alignment horizontal="center" vertical="center"/>
    </xf>
    <xf numFmtId="0" fontId="3" fillId="0" borderId="20" xfId="247" applyFont="1" applyFill="1" applyBorder="1" applyAlignment="1">
      <alignment horizontal="center" vertical="center"/>
    </xf>
    <xf numFmtId="0" fontId="18" fillId="0" borderId="23" xfId="247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0" xfId="382" applyFont="1" applyFill="1" applyBorder="1" applyAlignment="1">
      <alignment horizontal="left" vertical="center"/>
    </xf>
    <xf numFmtId="0" fontId="39" fillId="10" borderId="0" xfId="0" applyFont="1" applyFill="1" applyBorder="1"/>
    <xf numFmtId="0" fontId="53" fillId="0" borderId="0" xfId="0" applyFont="1" applyFill="1" applyBorder="1" applyAlignment="1">
      <alignment vertical="center"/>
    </xf>
    <xf numFmtId="0" fontId="39" fillId="0" borderId="7" xfId="0" applyFont="1" applyBorder="1" applyAlignment="1">
      <alignment horizontal="center" wrapText="1"/>
    </xf>
    <xf numFmtId="0" fontId="39" fillId="0" borderId="7" xfId="0" applyFont="1" applyFill="1" applyBorder="1" applyAlignment="1">
      <alignment wrapText="1"/>
    </xf>
    <xf numFmtId="2" fontId="39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wrapText="1"/>
    </xf>
    <xf numFmtId="0" fontId="39" fillId="0" borderId="2" xfId="0" applyFont="1" applyFill="1" applyBorder="1" applyAlignment="1">
      <alignment wrapText="1"/>
    </xf>
    <xf numFmtId="2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7" xfId="0" applyFont="1" applyBorder="1"/>
    <xf numFmtId="0" fontId="39" fillId="0" borderId="2" xfId="0" applyFont="1" applyBorder="1"/>
    <xf numFmtId="0" fontId="39" fillId="0" borderId="35" xfId="0" applyFont="1" applyBorder="1" applyAlignment="1">
      <alignment horizontal="left" wrapText="1"/>
    </xf>
    <xf numFmtId="2" fontId="39" fillId="0" borderId="36" xfId="0" applyNumberFormat="1" applyFont="1" applyBorder="1" applyAlignment="1">
      <alignment horizontal="center" vertical="center"/>
    </xf>
    <xf numFmtId="0" fontId="39" fillId="0" borderId="20" xfId="0" applyFont="1" applyBorder="1" applyAlignment="1">
      <alignment horizontal="left" wrapText="1"/>
    </xf>
    <xf numFmtId="2" fontId="53" fillId="0" borderId="34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 wrapText="1"/>
    </xf>
    <xf numFmtId="0" fontId="39" fillId="0" borderId="36" xfId="0" applyFont="1" applyBorder="1"/>
    <xf numFmtId="0" fontId="39" fillId="0" borderId="20" xfId="0" applyFont="1" applyBorder="1"/>
    <xf numFmtId="0" fontId="39" fillId="0" borderId="35" xfId="0" applyFont="1" applyBorder="1" applyAlignment="1">
      <alignment wrapText="1"/>
    </xf>
    <xf numFmtId="2" fontId="53" fillId="0" borderId="36" xfId="0" applyNumberFormat="1" applyFont="1" applyBorder="1" applyAlignment="1">
      <alignment horizontal="center" vertical="center"/>
    </xf>
    <xf numFmtId="164" fontId="11" fillId="0" borderId="19" xfId="2" applyFont="1" applyFill="1" applyBorder="1" applyAlignment="1">
      <alignment horizontal="right"/>
    </xf>
    <xf numFmtId="164" fontId="18" fillId="0" borderId="37" xfId="2" applyFont="1" applyFill="1" applyBorder="1" applyAlignment="1">
      <alignment horizontal="right"/>
    </xf>
    <xf numFmtId="0" fontId="22" fillId="0" borderId="23" xfId="0" applyNumberFormat="1" applyFont="1" applyFill="1" applyBorder="1" applyAlignment="1">
      <alignment horizontal="center" vertical="center" wrapText="1"/>
    </xf>
    <xf numFmtId="10" fontId="22" fillId="0" borderId="19" xfId="250" applyNumberFormat="1" applyFont="1" applyFill="1" applyBorder="1" applyAlignment="1">
      <alignment horizontal="center" vertical="center"/>
    </xf>
    <xf numFmtId="0" fontId="23" fillId="6" borderId="38" xfId="4" applyFont="1" applyFill="1" applyBorder="1" applyAlignment="1">
      <alignment horizontal="center" vertical="center"/>
    </xf>
    <xf numFmtId="10" fontId="19" fillId="6" borderId="19" xfId="250" applyNumberFormat="1" applyFont="1" applyFill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 wrapText="1"/>
    </xf>
    <xf numFmtId="10" fontId="18" fillId="0" borderId="19" xfId="25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vertical="center" wrapText="1"/>
    </xf>
    <xf numFmtId="0" fontId="17" fillId="6" borderId="31" xfId="382" applyFont="1" applyFill="1" applyBorder="1" applyAlignment="1">
      <alignment vertical="center" wrapText="1"/>
    </xf>
    <xf numFmtId="0" fontId="17" fillId="6" borderId="18" xfId="382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165" fontId="22" fillId="9" borderId="0" xfId="255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4" fontId="18" fillId="0" borderId="12" xfId="2" applyFont="1" applyFill="1" applyBorder="1" applyAlignment="1">
      <alignment horizontal="right" vertical="center"/>
    </xf>
    <xf numFmtId="10" fontId="18" fillId="0" borderId="19" xfId="253" applyNumberFormat="1" applyFont="1" applyFill="1" applyBorder="1" applyAlignment="1">
      <alignment horizontal="center" vertical="center"/>
    </xf>
    <xf numFmtId="164" fontId="3" fillId="6" borderId="12" xfId="2" applyFont="1" applyFill="1" applyBorder="1" applyAlignment="1">
      <alignment vertical="center" wrapText="1"/>
    </xf>
    <xf numFmtId="164" fontId="3" fillId="6" borderId="12" xfId="2" applyNumberFormat="1" applyFont="1" applyFill="1" applyBorder="1" applyAlignment="1">
      <alignment vertical="center"/>
    </xf>
    <xf numFmtId="0" fontId="23" fillId="6" borderId="12" xfId="4" applyFont="1" applyFill="1" applyBorder="1" applyAlignment="1">
      <alignment horizontal="center" vertical="center" wrapText="1"/>
    </xf>
    <xf numFmtId="0" fontId="23" fillId="6" borderId="12" xfId="4" quotePrefix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wrapText="1"/>
    </xf>
    <xf numFmtId="10" fontId="19" fillId="6" borderId="19" xfId="253" applyNumberFormat="1" applyFont="1" applyFill="1" applyBorder="1" applyAlignment="1">
      <alignment horizontal="center" vertical="center"/>
    </xf>
    <xf numFmtId="164" fontId="22" fillId="0" borderId="12" xfId="2" applyFont="1" applyFill="1" applyBorder="1" applyAlignment="1">
      <alignment horizontal="right" vertical="center"/>
    </xf>
    <xf numFmtId="10" fontId="22" fillId="0" borderId="19" xfId="253" applyNumberFormat="1" applyFont="1" applyFill="1" applyBorder="1" applyAlignment="1">
      <alignment horizontal="center" vertical="center"/>
    </xf>
    <xf numFmtId="0" fontId="18" fillId="6" borderId="10" xfId="381" applyNumberFormat="1" applyFont="1" applyFill="1" applyBorder="1" applyAlignment="1">
      <alignment horizontal="left" vertical="center" wrapText="1"/>
    </xf>
    <xf numFmtId="0" fontId="18" fillId="6" borderId="11" xfId="381" applyNumberFormat="1" applyFont="1" applyFill="1" applyBorder="1" applyAlignment="1">
      <alignment horizontal="left" vertical="center" wrapText="1"/>
    </xf>
    <xf numFmtId="0" fontId="18" fillId="6" borderId="9" xfId="381" applyNumberFormat="1" applyFont="1" applyFill="1" applyBorder="1" applyAlignment="1">
      <alignment horizontal="left" vertical="center" wrapText="1"/>
    </xf>
    <xf numFmtId="2" fontId="53" fillId="0" borderId="36" xfId="0" applyNumberFormat="1" applyFont="1" applyBorder="1" applyAlignment="1">
      <alignment horizontal="center"/>
    </xf>
    <xf numFmtId="0" fontId="39" fillId="0" borderId="18" xfId="0" applyFont="1" applyBorder="1" applyAlignment="1">
      <alignment wrapText="1"/>
    </xf>
    <xf numFmtId="2" fontId="39" fillId="0" borderId="31" xfId="0" applyNumberFormat="1" applyFont="1" applyBorder="1" applyAlignment="1">
      <alignment horizontal="center"/>
    </xf>
    <xf numFmtId="0" fontId="18" fillId="0" borderId="38" xfId="247" applyFont="1" applyFill="1" applyBorder="1" applyAlignment="1">
      <alignment horizontal="center"/>
    </xf>
    <xf numFmtId="0" fontId="18" fillId="0" borderId="13" xfId="247" applyFont="1" applyFill="1" applyBorder="1" applyAlignment="1">
      <alignment horizontal="left" vertical="center"/>
    </xf>
    <xf numFmtId="10" fontId="11" fillId="0" borderId="13" xfId="253" applyNumberFormat="1" applyFont="1" applyFill="1" applyBorder="1" applyAlignment="1">
      <alignment horizontal="center"/>
    </xf>
    <xf numFmtId="164" fontId="11" fillId="0" borderId="13" xfId="2" applyFont="1" applyFill="1" applyBorder="1" applyAlignment="1">
      <alignment horizontal="right"/>
    </xf>
    <xf numFmtId="9" fontId="11" fillId="0" borderId="13" xfId="253" applyNumberFormat="1" applyFont="1" applyFill="1" applyBorder="1" applyAlignment="1">
      <alignment horizontal="center"/>
    </xf>
    <xf numFmtId="164" fontId="11" fillId="0" borderId="39" xfId="2" applyFont="1" applyFill="1" applyBorder="1" applyAlignment="1">
      <alignment horizontal="right"/>
    </xf>
    <xf numFmtId="164" fontId="18" fillId="0" borderId="13" xfId="2" applyFont="1" applyFill="1" applyBorder="1" applyAlignment="1">
      <alignment horizontal="right"/>
    </xf>
    <xf numFmtId="164" fontId="18" fillId="0" borderId="39" xfId="2" applyFont="1" applyFill="1" applyBorder="1" applyAlignment="1">
      <alignment horizontal="right"/>
    </xf>
    <xf numFmtId="164" fontId="18" fillId="0" borderId="12" xfId="2" applyFont="1" applyFill="1" applyBorder="1" applyAlignment="1">
      <alignment horizontal="right"/>
    </xf>
    <xf numFmtId="164" fontId="18" fillId="0" borderId="19" xfId="2" applyFont="1" applyFill="1" applyBorder="1" applyAlignment="1">
      <alignment horizontal="right"/>
    </xf>
    <xf numFmtId="0" fontId="18" fillId="0" borderId="32" xfId="382" applyFont="1" applyFill="1" applyBorder="1" applyAlignment="1">
      <alignment horizontal="center" vertical="center"/>
    </xf>
    <xf numFmtId="0" fontId="18" fillId="0" borderId="33" xfId="382" applyFont="1" applyFill="1" applyBorder="1" applyAlignment="1">
      <alignment vertical="center"/>
    </xf>
    <xf numFmtId="43" fontId="18" fillId="0" borderId="33" xfId="382" applyNumberFormat="1" applyFont="1" applyFill="1" applyBorder="1" applyAlignment="1">
      <alignment vertical="center"/>
    </xf>
    <xf numFmtId="0" fontId="18" fillId="0" borderId="0" xfId="382" applyFont="1" applyFill="1" applyBorder="1" applyAlignment="1">
      <alignment horizontal="center" vertical="center" wrapText="1"/>
    </xf>
    <xf numFmtId="0" fontId="18" fillId="6" borderId="10" xfId="381" applyNumberFormat="1" applyFont="1" applyFill="1" applyBorder="1" applyAlignment="1">
      <alignment horizontal="left" vertical="center" wrapText="1"/>
    </xf>
    <xf numFmtId="0" fontId="18" fillId="6" borderId="11" xfId="381" applyNumberFormat="1" applyFont="1" applyFill="1" applyBorder="1" applyAlignment="1">
      <alignment horizontal="left" vertical="center" wrapText="1"/>
    </xf>
    <xf numFmtId="0" fontId="18" fillId="6" borderId="9" xfId="381" applyNumberFormat="1" applyFont="1" applyFill="1" applyBorder="1" applyAlignment="1">
      <alignment horizontal="left" vertical="center" wrapText="1"/>
    </xf>
    <xf numFmtId="0" fontId="18" fillId="15" borderId="18" xfId="382" applyFont="1" applyFill="1" applyBorder="1" applyAlignment="1">
      <alignment horizontal="center" vertical="center" wrapText="1"/>
    </xf>
    <xf numFmtId="0" fontId="18" fillId="15" borderId="0" xfId="382" applyFont="1" applyFill="1" applyBorder="1" applyAlignment="1">
      <alignment horizontal="center" vertical="center" wrapText="1"/>
    </xf>
    <xf numFmtId="0" fontId="18" fillId="15" borderId="31" xfId="382" applyFont="1" applyFill="1" applyBorder="1" applyAlignment="1">
      <alignment horizontal="center" vertical="center" wrapText="1"/>
    </xf>
    <xf numFmtId="0" fontId="18" fillId="15" borderId="24" xfId="382" applyFont="1" applyFill="1" applyBorder="1" applyAlignment="1">
      <alignment horizontal="center" vertical="center" wrapText="1"/>
    </xf>
    <xf numFmtId="0" fontId="18" fillId="15" borderId="25" xfId="382" applyFont="1" applyFill="1" applyBorder="1" applyAlignment="1">
      <alignment horizontal="center" vertical="center" wrapText="1"/>
    </xf>
    <xf numFmtId="0" fontId="18" fillId="15" borderId="26" xfId="382" applyFont="1" applyFill="1" applyBorder="1" applyAlignment="1">
      <alignment horizontal="center" vertical="center" wrapText="1"/>
    </xf>
    <xf numFmtId="0" fontId="11" fillId="0" borderId="0" xfId="382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8" fillId="0" borderId="13" xfId="249" applyNumberFormat="1" applyFont="1" applyFill="1" applyBorder="1" applyAlignment="1" applyProtection="1">
      <alignment horizontal="center" vertical="center" wrapText="1"/>
    </xf>
    <xf numFmtId="0" fontId="18" fillId="0" borderId="14" xfId="249" applyNumberFormat="1" applyFont="1" applyFill="1" applyBorder="1" applyAlignment="1" applyProtection="1">
      <alignment horizontal="center" vertical="center" wrapText="1"/>
    </xf>
    <xf numFmtId="165" fontId="18" fillId="0" borderId="13" xfId="254" applyFont="1" applyFill="1" applyBorder="1" applyAlignment="1" applyProtection="1">
      <alignment horizontal="center" vertical="center" wrapText="1"/>
    </xf>
    <xf numFmtId="165" fontId="18" fillId="0" borderId="14" xfId="254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38" xfId="3" applyNumberFormat="1" applyFont="1" applyFill="1" applyBorder="1" applyAlignment="1">
      <alignment horizontal="center" vertical="center" wrapText="1"/>
    </xf>
    <xf numFmtId="0" fontId="18" fillId="0" borderId="40" xfId="3" applyNumberFormat="1" applyFont="1" applyFill="1" applyBorder="1" applyAlignment="1">
      <alignment horizontal="center" vertical="center" wrapText="1"/>
    </xf>
    <xf numFmtId="167" fontId="17" fillId="12" borderId="20" xfId="3" applyNumberFormat="1" applyFont="1" applyFill="1" applyBorder="1" applyAlignment="1">
      <alignment horizontal="center" vertical="center" wrapText="1"/>
    </xf>
    <xf numFmtId="167" fontId="17" fillId="12" borderId="2" xfId="3" applyNumberFormat="1" applyFont="1" applyFill="1" applyBorder="1" applyAlignment="1">
      <alignment horizontal="center" vertical="center" wrapText="1"/>
    </xf>
    <xf numFmtId="167" fontId="17" fillId="12" borderId="34" xfId="3" applyNumberFormat="1" applyFont="1" applyFill="1" applyBorder="1" applyAlignment="1">
      <alignment horizontal="center" vertical="center" wrapText="1"/>
    </xf>
    <xf numFmtId="0" fontId="18" fillId="0" borderId="39" xfId="249" applyNumberFormat="1" applyFont="1" applyFill="1" applyBorder="1" applyAlignment="1" applyProtection="1">
      <alignment horizontal="center" vertical="center" wrapText="1"/>
    </xf>
    <xf numFmtId="0" fontId="18" fillId="0" borderId="41" xfId="249" applyNumberFormat="1" applyFont="1" applyFill="1" applyBorder="1" applyAlignment="1" applyProtection="1">
      <alignment horizontal="center" vertical="center" wrapText="1"/>
    </xf>
    <xf numFmtId="167" fontId="18" fillId="0" borderId="27" xfId="3" applyNumberFormat="1" applyFont="1" applyFill="1" applyBorder="1" applyAlignment="1">
      <alignment horizontal="left" vertical="center" wrapText="1"/>
    </xf>
    <xf numFmtId="167" fontId="18" fillId="0" borderId="28" xfId="3" applyNumberFormat="1" applyFont="1" applyFill="1" applyBorder="1" applyAlignment="1">
      <alignment horizontal="left" vertical="center" wrapText="1"/>
    </xf>
    <xf numFmtId="167" fontId="18" fillId="0" borderId="29" xfId="3" applyNumberFormat="1" applyFont="1" applyFill="1" applyBorder="1" applyAlignment="1">
      <alignment horizontal="left" vertical="center" wrapText="1"/>
    </xf>
    <xf numFmtId="0" fontId="22" fillId="0" borderId="27" xfId="0" applyNumberFormat="1" applyFont="1" applyFill="1" applyBorder="1" applyAlignment="1">
      <alignment horizontal="left" vertical="center" wrapText="1"/>
    </xf>
    <xf numFmtId="0" fontId="22" fillId="0" borderId="28" xfId="0" applyNumberFormat="1" applyFont="1" applyFill="1" applyBorder="1" applyAlignment="1">
      <alignment horizontal="left" vertical="center" wrapText="1"/>
    </xf>
    <xf numFmtId="0" fontId="22" fillId="0" borderId="29" xfId="0" applyNumberFormat="1" applyFont="1" applyFill="1" applyBorder="1" applyAlignment="1">
      <alignment horizontal="left" vertical="center" wrapText="1"/>
    </xf>
    <xf numFmtId="167" fontId="24" fillId="12" borderId="21" xfId="3" applyNumberFormat="1" applyFont="1" applyFill="1" applyBorder="1" applyAlignment="1">
      <alignment horizontal="center" vertical="center" wrapText="1"/>
    </xf>
    <xf numFmtId="167" fontId="24" fillId="12" borderId="11" xfId="3" applyNumberFormat="1" applyFont="1" applyFill="1" applyBorder="1" applyAlignment="1">
      <alignment horizontal="center" vertical="center" wrapText="1"/>
    </xf>
    <xf numFmtId="167" fontId="24" fillId="12" borderId="22" xfId="3" applyNumberFormat="1" applyFont="1" applyFill="1" applyBorder="1" applyAlignment="1">
      <alignment horizontal="center" vertical="center" wrapText="1"/>
    </xf>
    <xf numFmtId="167" fontId="24" fillId="12" borderId="21" xfId="4" applyNumberFormat="1" applyFont="1" applyFill="1" applyBorder="1" applyAlignment="1">
      <alignment horizontal="center" vertical="center" wrapText="1"/>
    </xf>
    <xf numFmtId="167" fontId="24" fillId="12" borderId="11" xfId="4" applyNumberFormat="1" applyFont="1" applyFill="1" applyBorder="1" applyAlignment="1">
      <alignment horizontal="center" vertical="center" wrapText="1"/>
    </xf>
    <xf numFmtId="167" fontId="24" fillId="12" borderId="22" xfId="4" applyNumberFormat="1" applyFont="1" applyFill="1" applyBorder="1" applyAlignment="1">
      <alignment horizontal="center" vertical="center" wrapText="1"/>
    </xf>
    <xf numFmtId="167" fontId="18" fillId="12" borderId="21" xfId="3" applyNumberFormat="1" applyFont="1" applyFill="1" applyBorder="1" applyAlignment="1">
      <alignment horizontal="center" vertical="center" wrapText="1"/>
    </xf>
    <xf numFmtId="167" fontId="18" fillId="12" borderId="11" xfId="3" applyNumberFormat="1" applyFont="1" applyFill="1" applyBorder="1" applyAlignment="1">
      <alignment horizontal="center" vertical="center" wrapText="1"/>
    </xf>
    <xf numFmtId="167" fontId="18" fillId="12" borderId="22" xfId="3" applyNumberFormat="1" applyFont="1" applyFill="1" applyBorder="1" applyAlignment="1">
      <alignment horizontal="center" vertical="center" wrapText="1"/>
    </xf>
    <xf numFmtId="0" fontId="18" fillId="0" borderId="23" xfId="247" applyFont="1" applyFill="1" applyBorder="1" applyAlignment="1">
      <alignment horizontal="center" vertical="center" wrapText="1"/>
    </xf>
    <xf numFmtId="0" fontId="18" fillId="0" borderId="12" xfId="247" applyFont="1" applyFill="1" applyBorder="1" applyAlignment="1">
      <alignment horizontal="center" vertical="center" wrapText="1"/>
    </xf>
    <xf numFmtId="0" fontId="48" fillId="0" borderId="0" xfId="382" applyFont="1" applyFill="1" applyBorder="1" applyAlignment="1">
      <alignment horizontal="center" vertical="center" wrapText="1"/>
    </xf>
    <xf numFmtId="0" fontId="18" fillId="0" borderId="19" xfId="247" applyFont="1" applyFill="1" applyBorder="1" applyAlignment="1">
      <alignment horizontal="center" vertical="center" wrapText="1"/>
    </xf>
    <xf numFmtId="0" fontId="48" fillId="0" borderId="17" xfId="159" applyFont="1" applyFill="1" applyBorder="1" applyAlignment="1">
      <alignment horizontal="center" vertical="center" wrapText="1"/>
    </xf>
    <xf numFmtId="0" fontId="48" fillId="0" borderId="16" xfId="159" applyFont="1" applyFill="1" applyBorder="1" applyAlignment="1">
      <alignment horizontal="center" vertical="center" wrapText="1"/>
    </xf>
    <xf numFmtId="0" fontId="48" fillId="0" borderId="30" xfId="159" applyFont="1" applyFill="1" applyBorder="1" applyAlignment="1">
      <alignment horizontal="center" vertical="center" wrapText="1"/>
    </xf>
    <xf numFmtId="0" fontId="48" fillId="0" borderId="5" xfId="159" applyFont="1" applyFill="1" applyBorder="1" applyAlignment="1">
      <alignment horizontal="center" vertical="center" wrapText="1"/>
    </xf>
    <xf numFmtId="0" fontId="48" fillId="0" borderId="0" xfId="159" applyFont="1" applyFill="1" applyBorder="1" applyAlignment="1">
      <alignment horizontal="center" vertical="center" wrapText="1"/>
    </xf>
    <xf numFmtId="0" fontId="48" fillId="0" borderId="31" xfId="159" applyFont="1" applyFill="1" applyBorder="1" applyAlignment="1">
      <alignment horizontal="center" vertical="center" wrapText="1"/>
    </xf>
    <xf numFmtId="0" fontId="24" fillId="0" borderId="5" xfId="159" applyFont="1" applyFill="1" applyBorder="1" applyAlignment="1">
      <alignment horizontal="center" vertical="center" wrapText="1"/>
    </xf>
    <xf numFmtId="0" fontId="24" fillId="0" borderId="0" xfId="159" applyFont="1" applyFill="1" applyBorder="1" applyAlignment="1">
      <alignment horizontal="center" vertical="center" wrapText="1"/>
    </xf>
    <xf numFmtId="0" fontId="24" fillId="0" borderId="31" xfId="159" applyFont="1" applyFill="1" applyBorder="1" applyAlignment="1">
      <alignment horizontal="center" vertical="center" wrapText="1"/>
    </xf>
    <xf numFmtId="0" fontId="17" fillId="0" borderId="5" xfId="159" applyFont="1" applyFill="1" applyBorder="1" applyAlignment="1">
      <alignment horizontal="center" vertical="center" wrapText="1"/>
    </xf>
    <xf numFmtId="0" fontId="17" fillId="0" borderId="0" xfId="159" applyFont="1" applyFill="1" applyBorder="1" applyAlignment="1">
      <alignment horizontal="center" vertical="center" wrapText="1"/>
    </xf>
    <xf numFmtId="0" fontId="17" fillId="0" borderId="31" xfId="159" applyFont="1" applyFill="1" applyBorder="1" applyAlignment="1">
      <alignment horizontal="center" vertical="center" wrapText="1"/>
    </xf>
    <xf numFmtId="0" fontId="17" fillId="0" borderId="3" xfId="159" applyFont="1" applyFill="1" applyBorder="1" applyAlignment="1">
      <alignment horizontal="center" vertical="center" wrapText="1"/>
    </xf>
    <xf numFmtId="0" fontId="17" fillId="0" borderId="2" xfId="159" applyFont="1" applyFill="1" applyBorder="1" applyAlignment="1">
      <alignment horizontal="center" vertical="center" wrapText="1"/>
    </xf>
    <xf numFmtId="0" fontId="17" fillId="0" borderId="34" xfId="159" applyFont="1" applyFill="1" applyBorder="1" applyAlignment="1">
      <alignment horizontal="center" vertical="center" wrapText="1"/>
    </xf>
    <xf numFmtId="167" fontId="18" fillId="0" borderId="21" xfId="4" applyNumberFormat="1" applyFont="1" applyFill="1" applyBorder="1" applyAlignment="1">
      <alignment horizontal="left" vertical="center" wrapText="1"/>
    </xf>
    <xf numFmtId="167" fontId="18" fillId="0" borderId="11" xfId="4" applyNumberFormat="1" applyFont="1" applyFill="1" applyBorder="1" applyAlignment="1">
      <alignment horizontal="left" vertical="center" wrapText="1"/>
    </xf>
    <xf numFmtId="167" fontId="18" fillId="0" borderId="10" xfId="4" applyNumberFormat="1" applyFont="1" applyFill="1" applyBorder="1" applyAlignment="1">
      <alignment horizontal="left" vertical="center" wrapText="1"/>
    </xf>
    <xf numFmtId="167" fontId="18" fillId="0" borderId="22" xfId="4" applyNumberFormat="1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165" fontId="22" fillId="9" borderId="18" xfId="255" applyFont="1" applyFill="1" applyBorder="1" applyAlignment="1">
      <alignment horizontal="center" vertical="center" wrapText="1"/>
    </xf>
    <xf numFmtId="165" fontId="22" fillId="9" borderId="0" xfId="255" applyFont="1" applyFill="1" applyBorder="1" applyAlignment="1">
      <alignment horizontal="center" vertical="center" wrapText="1"/>
    </xf>
    <xf numFmtId="165" fontId="22" fillId="9" borderId="31" xfId="255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53" fillId="12" borderId="11" xfId="0" applyFont="1" applyFill="1" applyBorder="1" applyAlignment="1">
      <alignment horizontal="center" vertical="center"/>
    </xf>
    <xf numFmtId="0" fontId="53" fillId="12" borderId="9" xfId="0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left" vertical="center" wrapText="1"/>
    </xf>
    <xf numFmtId="167" fontId="18" fillId="0" borderId="12" xfId="3" applyNumberFormat="1" applyFont="1" applyFill="1" applyBorder="1" applyAlignment="1">
      <alignment horizontal="center" vertical="center" wrapText="1"/>
    </xf>
    <xf numFmtId="167" fontId="18" fillId="0" borderId="12" xfId="3" applyNumberFormat="1" applyFont="1" applyFill="1" applyBorder="1" applyAlignment="1">
      <alignment horizontal="left" vertical="center" wrapText="1"/>
    </xf>
    <xf numFmtId="167" fontId="11" fillId="0" borderId="12" xfId="3" applyNumberFormat="1" applyFont="1" applyFill="1" applyBorder="1" applyAlignment="1">
      <alignment horizontal="left" vertical="center" wrapText="1"/>
    </xf>
    <xf numFmtId="0" fontId="53" fillId="9" borderId="11" xfId="0" applyFont="1" applyFill="1" applyBorder="1" applyAlignment="1">
      <alignment horizontal="center" vertical="center"/>
    </xf>
    <xf numFmtId="0" fontId="53" fillId="9" borderId="9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right" vertical="center" wrapText="1"/>
    </xf>
    <xf numFmtId="0" fontId="35" fillId="8" borderId="5" xfId="0" applyFont="1" applyFill="1" applyBorder="1" applyAlignment="1">
      <alignment vertical="center" wrapText="1"/>
    </xf>
    <xf numFmtId="0" fontId="35" fillId="8" borderId="0" xfId="0" applyFont="1" applyFill="1" applyBorder="1" applyAlignment="1">
      <alignment vertical="center" wrapText="1"/>
    </xf>
    <xf numFmtId="0" fontId="35" fillId="8" borderId="4" xfId="0" applyFont="1" applyFill="1" applyBorder="1" applyAlignment="1">
      <alignment vertical="center" wrapText="1"/>
    </xf>
    <xf numFmtId="0" fontId="35" fillId="0" borderId="5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right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6" xfId="0" applyFont="1" applyFill="1" applyBorder="1" applyAlignment="1">
      <alignment horizontal="left" vertical="center" wrapText="1"/>
    </xf>
    <xf numFmtId="0" fontId="33" fillId="7" borderId="5" xfId="0" applyFont="1" applyFill="1" applyBorder="1" applyAlignment="1">
      <alignment horizontal="right" vertical="center" wrapText="1"/>
    </xf>
    <xf numFmtId="0" fontId="33" fillId="7" borderId="0" xfId="0" applyFont="1" applyFill="1" applyBorder="1" applyAlignment="1">
      <alignment horizontal="righ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167" fontId="6" fillId="0" borderId="10" xfId="3" applyNumberFormat="1" applyFont="1" applyFill="1" applyBorder="1" applyAlignment="1">
      <alignment horizontal="left" vertical="center" wrapText="1"/>
    </xf>
    <xf numFmtId="167" fontId="6" fillId="0" borderId="11" xfId="3" applyNumberFormat="1" applyFont="1" applyFill="1" applyBorder="1" applyAlignment="1">
      <alignment horizontal="left" vertical="center" wrapText="1"/>
    </xf>
    <xf numFmtId="167" fontId="6" fillId="0" borderId="9" xfId="3" applyNumberFormat="1" applyFont="1" applyFill="1" applyBorder="1" applyAlignment="1">
      <alignment horizontal="left" vertical="center" wrapText="1"/>
    </xf>
    <xf numFmtId="167" fontId="18" fillId="0" borderId="10" xfId="3" applyNumberFormat="1" applyFont="1" applyFill="1" applyBorder="1" applyAlignment="1">
      <alignment horizontal="left" vertical="center" wrapText="1"/>
    </xf>
    <xf numFmtId="167" fontId="18" fillId="0" borderId="11" xfId="3" applyNumberFormat="1" applyFont="1" applyFill="1" applyBorder="1" applyAlignment="1">
      <alignment horizontal="left" vertical="center" wrapText="1"/>
    </xf>
    <xf numFmtId="167" fontId="18" fillId="0" borderId="9" xfId="3" applyNumberFormat="1" applyFont="1" applyFill="1" applyBorder="1" applyAlignment="1">
      <alignment horizontal="left" vertical="center" wrapText="1"/>
    </xf>
    <xf numFmtId="0" fontId="33" fillId="7" borderId="10" xfId="0" applyFont="1" applyFill="1" applyBorder="1" applyAlignment="1">
      <alignment horizontal="left" vertical="center" wrapText="1"/>
    </xf>
    <xf numFmtId="0" fontId="33" fillId="7" borderId="11" xfId="0" applyFont="1" applyFill="1" applyBorder="1" applyAlignment="1">
      <alignment horizontal="left" vertical="center" wrapText="1"/>
    </xf>
    <xf numFmtId="167" fontId="6" fillId="12" borderId="10" xfId="3" applyNumberFormat="1" applyFont="1" applyFill="1" applyBorder="1" applyAlignment="1">
      <alignment horizontal="center" vertical="center" wrapText="1"/>
    </xf>
    <xf numFmtId="167" fontId="6" fillId="12" borderId="11" xfId="3" applyNumberFormat="1" applyFont="1" applyFill="1" applyBorder="1" applyAlignment="1">
      <alignment horizontal="center" vertical="center" wrapText="1"/>
    </xf>
    <xf numFmtId="167" fontId="6" fillId="12" borderId="9" xfId="3" applyNumberFormat="1" applyFont="1" applyFill="1" applyBorder="1" applyAlignment="1">
      <alignment horizontal="center" vertical="center" wrapText="1"/>
    </xf>
    <xf numFmtId="0" fontId="34" fillId="8" borderId="8" xfId="145" applyFont="1" applyFill="1" applyBorder="1" applyAlignment="1">
      <alignment horizontal="left" vertical="center" wrapText="1"/>
    </xf>
    <xf numFmtId="0" fontId="34" fillId="8" borderId="7" xfId="145" applyFont="1" applyFill="1" applyBorder="1" applyAlignment="1">
      <alignment horizontal="left" vertical="center" wrapText="1"/>
    </xf>
    <xf numFmtId="0" fontId="34" fillId="8" borderId="6" xfId="145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0" fontId="33" fillId="7" borderId="11" xfId="250" applyNumberFormat="1" applyFont="1" applyFill="1" applyBorder="1" applyAlignment="1">
      <alignment horizontal="left" vertical="center" wrapText="1"/>
    </xf>
    <xf numFmtId="0" fontId="33" fillId="7" borderId="11" xfId="0" applyFont="1" applyFill="1" applyBorder="1" applyAlignment="1">
      <alignment horizontal="right" vertical="center" wrapText="1"/>
    </xf>
    <xf numFmtId="0" fontId="33" fillId="7" borderId="9" xfId="0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35" fillId="6" borderId="3" xfId="0" applyFont="1" applyFill="1" applyBorder="1" applyAlignment="1">
      <alignment horizontal="right" vertical="center" wrapText="1"/>
    </xf>
    <xf numFmtId="0" fontId="35" fillId="6" borderId="2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5" fillId="13" borderId="12" xfId="159" applyFont="1" applyFill="1" applyBorder="1" applyAlignment="1">
      <alignment horizontal="left" vertical="top" wrapText="1"/>
    </xf>
    <xf numFmtId="10" fontId="45" fillId="13" borderId="12" xfId="159" applyNumberFormat="1" applyFont="1" applyFill="1" applyBorder="1" applyAlignment="1">
      <alignment horizontal="center" vertical="top" wrapText="1"/>
    </xf>
    <xf numFmtId="0" fontId="47" fillId="14" borderId="10" xfId="159" applyFont="1" applyFill="1" applyBorder="1" applyAlignment="1">
      <alignment horizontal="center" vertical="top" wrapText="1"/>
    </xf>
    <xf numFmtId="0" fontId="47" fillId="14" borderId="11" xfId="159" applyFont="1" applyFill="1" applyBorder="1" applyAlignment="1">
      <alignment horizontal="center" vertical="top" wrapText="1"/>
    </xf>
    <xf numFmtId="0" fontId="47" fillId="14" borderId="9" xfId="159" applyFont="1" applyFill="1" applyBorder="1" applyAlignment="1">
      <alignment horizontal="center" vertical="top" wrapText="1"/>
    </xf>
    <xf numFmtId="0" fontId="46" fillId="14" borderId="12" xfId="159" applyFont="1" applyFill="1" applyBorder="1" applyAlignment="1">
      <alignment horizontal="center" vertical="top" wrapText="1"/>
    </xf>
    <xf numFmtId="0" fontId="46" fillId="14" borderId="10" xfId="159" applyFont="1" applyFill="1" applyBorder="1" applyAlignment="1">
      <alignment horizontal="center" vertical="top" wrapText="1"/>
    </xf>
    <xf numFmtId="0" fontId="46" fillId="14" borderId="11" xfId="159" applyFont="1" applyFill="1" applyBorder="1" applyAlignment="1">
      <alignment horizontal="center" vertical="top" wrapText="1"/>
    </xf>
    <xf numFmtId="0" fontId="46" fillId="14" borderId="9" xfId="159" applyFont="1" applyFill="1" applyBorder="1" applyAlignment="1">
      <alignment horizontal="center" vertical="top" wrapText="1"/>
    </xf>
    <xf numFmtId="0" fontId="45" fillId="13" borderId="10" xfId="159" applyFont="1" applyFill="1" applyBorder="1" applyAlignment="1">
      <alignment horizontal="left" vertical="top" wrapText="1"/>
    </xf>
    <xf numFmtId="0" fontId="45" fillId="13" borderId="11" xfId="159" applyFont="1" applyFill="1" applyBorder="1" applyAlignment="1">
      <alignment horizontal="left" vertical="top" wrapText="1"/>
    </xf>
    <xf numFmtId="0" fontId="45" fillId="13" borderId="9" xfId="159" applyFont="1" applyFill="1" applyBorder="1" applyAlignment="1">
      <alignment horizontal="left" vertical="top" wrapText="1"/>
    </xf>
    <xf numFmtId="10" fontId="45" fillId="13" borderId="10" xfId="159" applyNumberFormat="1" applyFont="1" applyFill="1" applyBorder="1" applyAlignment="1">
      <alignment horizontal="center" vertical="top" wrapText="1"/>
    </xf>
    <xf numFmtId="10" fontId="45" fillId="13" borderId="11" xfId="159" applyNumberFormat="1" applyFont="1" applyFill="1" applyBorder="1" applyAlignment="1">
      <alignment horizontal="center" vertical="top" wrapText="1"/>
    </xf>
    <xf numFmtId="10" fontId="45" fillId="13" borderId="9" xfId="159" applyNumberFormat="1" applyFont="1" applyFill="1" applyBorder="1" applyAlignment="1">
      <alignment horizontal="center" vertical="top" wrapText="1"/>
    </xf>
    <xf numFmtId="0" fontId="30" fillId="0" borderId="5" xfId="159" applyFont="1" applyBorder="1" applyAlignment="1">
      <alignment horizontal="center" vertical="center"/>
    </xf>
    <xf numFmtId="171" fontId="30" fillId="0" borderId="2" xfId="380" applyNumberFormat="1" applyFont="1" applyBorder="1" applyAlignment="1">
      <alignment horizontal="center" vertical="center"/>
    </xf>
    <xf numFmtId="0" fontId="30" fillId="0" borderId="4" xfId="159" applyFont="1" applyBorder="1" applyAlignment="1">
      <alignment horizontal="center" vertical="center"/>
    </xf>
    <xf numFmtId="170" fontId="30" fillId="0" borderId="7" xfId="380" applyNumberFormat="1" applyFont="1" applyBorder="1" applyAlignment="1">
      <alignment horizontal="left" vertical="center"/>
    </xf>
    <xf numFmtId="0" fontId="44" fillId="0" borderId="5" xfId="159" applyFont="1" applyBorder="1" applyAlignment="1">
      <alignment horizontal="center" vertical="center"/>
    </xf>
    <xf numFmtId="10" fontId="44" fillId="0" borderId="2" xfId="252" applyNumberFormat="1" applyFont="1" applyBorder="1" applyAlignment="1">
      <alignment horizontal="center" vertical="center"/>
    </xf>
    <xf numFmtId="10" fontId="44" fillId="0" borderId="0" xfId="252" applyNumberFormat="1" applyFont="1" applyBorder="1" applyAlignment="1">
      <alignment horizontal="center" vertical="center"/>
    </xf>
  </cellXfs>
  <cellStyles count="383">
    <cellStyle name="Moeda" xfId="1" builtinId="4"/>
    <cellStyle name="Moeda 2" xfId="2"/>
    <cellStyle name="Normal" xfId="0" builtinId="0"/>
    <cellStyle name="Normal 2" xfId="3"/>
    <cellStyle name="Normal 2 10" xfId="4"/>
    <cellStyle name="Normal 2 11" xfId="5"/>
    <cellStyle name="Normal 2 12" xfId="6"/>
    <cellStyle name="Normal 2 13" xfId="7"/>
    <cellStyle name="Normal 2 14" xfId="8"/>
    <cellStyle name="Normal 2 15" xfId="9"/>
    <cellStyle name="Normal 2 16" xfId="10"/>
    <cellStyle name="Normal 2 17" xfId="11"/>
    <cellStyle name="Normal 2 18" xfId="12"/>
    <cellStyle name="Normal 2 19" xfId="13"/>
    <cellStyle name="Normal 2 2" xfId="14"/>
    <cellStyle name="Normal 2 2 10" xfId="15"/>
    <cellStyle name="Normal 2 2 11" xfId="16"/>
    <cellStyle name="Normal 2 2 12" xfId="17"/>
    <cellStyle name="Normal 2 2 13" xfId="18"/>
    <cellStyle name="Normal 2 2 14" xfId="19"/>
    <cellStyle name="Normal 2 2 15" xfId="20"/>
    <cellStyle name="Normal 2 2 16" xfId="21"/>
    <cellStyle name="Normal 2 2 17" xfId="22"/>
    <cellStyle name="Normal 2 2 18" xfId="23"/>
    <cellStyle name="Normal 2 2 19" xfId="24"/>
    <cellStyle name="Normal 2 2 2" xfId="25"/>
    <cellStyle name="Normal 2 2 20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20" xfId="34"/>
    <cellStyle name="Normal 2 21" xfId="35"/>
    <cellStyle name="Normal 2 22" xfId="36"/>
    <cellStyle name="Normal 2 23" xfId="37"/>
    <cellStyle name="Normal 2 24" xfId="38"/>
    <cellStyle name="Normal 2 25" xfId="39"/>
    <cellStyle name="Normal 2 26" xfId="40"/>
    <cellStyle name="Normal 2 27" xfId="41"/>
    <cellStyle name="Normal 2 3" xfId="42"/>
    <cellStyle name="Normal 2 3 10" xfId="43"/>
    <cellStyle name="Normal 2 3 11" xfId="44"/>
    <cellStyle name="Normal 2 3 12" xfId="45"/>
    <cellStyle name="Normal 2 3 13" xfId="46"/>
    <cellStyle name="Normal 2 3 14" xfId="47"/>
    <cellStyle name="Normal 2 3 15" xfId="48"/>
    <cellStyle name="Normal 2 3 16" xfId="49"/>
    <cellStyle name="Normal 2 3 17" xfId="50"/>
    <cellStyle name="Normal 2 3 18" xfId="51"/>
    <cellStyle name="Normal 2 3 19" xfId="52"/>
    <cellStyle name="Normal 2 3 2" xfId="53"/>
    <cellStyle name="Normal 2 3 20" xfId="54"/>
    <cellStyle name="Normal 2 3 3" xfId="55"/>
    <cellStyle name="Normal 2 3 4" xfId="56"/>
    <cellStyle name="Normal 2 3 5" xfId="57"/>
    <cellStyle name="Normal 2 3 6" xfId="58"/>
    <cellStyle name="Normal 2 3 7" xfId="59"/>
    <cellStyle name="Normal 2 3 8" xfId="60"/>
    <cellStyle name="Normal 2 3 9" xfId="61"/>
    <cellStyle name="Normal 2 4" xfId="62"/>
    <cellStyle name="Normal 2 4 10" xfId="63"/>
    <cellStyle name="Normal 2 4 11" xfId="64"/>
    <cellStyle name="Normal 2 4 12" xfId="65"/>
    <cellStyle name="Normal 2 4 13" xfId="66"/>
    <cellStyle name="Normal 2 4 14" xfId="67"/>
    <cellStyle name="Normal 2 4 15" xfId="68"/>
    <cellStyle name="Normal 2 4 16" xfId="69"/>
    <cellStyle name="Normal 2 4 17" xfId="70"/>
    <cellStyle name="Normal 2 4 18" xfId="71"/>
    <cellStyle name="Normal 2 4 19" xfId="72"/>
    <cellStyle name="Normal 2 4 2" xfId="73"/>
    <cellStyle name="Normal 2 4 20" xfId="74"/>
    <cellStyle name="Normal 2 4 3" xfId="75"/>
    <cellStyle name="Normal 2 4 4" xfId="76"/>
    <cellStyle name="Normal 2 4 5" xfId="77"/>
    <cellStyle name="Normal 2 4 6" xfId="78"/>
    <cellStyle name="Normal 2 4 7" xfId="79"/>
    <cellStyle name="Normal 2 4 8" xfId="80"/>
    <cellStyle name="Normal 2 4 9" xfId="81"/>
    <cellStyle name="Normal 2 5" xfId="82"/>
    <cellStyle name="Normal 2 5 10" xfId="83"/>
    <cellStyle name="Normal 2 5 11" xfId="84"/>
    <cellStyle name="Normal 2 5 12" xfId="85"/>
    <cellStyle name="Normal 2 5 13" xfId="86"/>
    <cellStyle name="Normal 2 5 14" xfId="87"/>
    <cellStyle name="Normal 2 5 15" xfId="88"/>
    <cellStyle name="Normal 2 5 16" xfId="89"/>
    <cellStyle name="Normal 2 5 17" xfId="90"/>
    <cellStyle name="Normal 2 5 18" xfId="91"/>
    <cellStyle name="Normal 2 5 19" xfId="92"/>
    <cellStyle name="Normal 2 5 2" xfId="93"/>
    <cellStyle name="Normal 2 5 20" xfId="94"/>
    <cellStyle name="Normal 2 5 3" xfId="95"/>
    <cellStyle name="Normal 2 5 4" xfId="96"/>
    <cellStyle name="Normal 2 5 5" xfId="97"/>
    <cellStyle name="Normal 2 5 6" xfId="98"/>
    <cellStyle name="Normal 2 5 7" xfId="99"/>
    <cellStyle name="Normal 2 5 8" xfId="100"/>
    <cellStyle name="Normal 2 5 9" xfId="101"/>
    <cellStyle name="Normal 2 6" xfId="102"/>
    <cellStyle name="Normal 2 6 10" xfId="103"/>
    <cellStyle name="Normal 2 6 11" xfId="104"/>
    <cellStyle name="Normal 2 6 12" xfId="105"/>
    <cellStyle name="Normal 2 6 13" xfId="106"/>
    <cellStyle name="Normal 2 6 14" xfId="107"/>
    <cellStyle name="Normal 2 6 15" xfId="108"/>
    <cellStyle name="Normal 2 6 16" xfId="109"/>
    <cellStyle name="Normal 2 6 17" xfId="110"/>
    <cellStyle name="Normal 2 6 18" xfId="111"/>
    <cellStyle name="Normal 2 6 19" xfId="112"/>
    <cellStyle name="Normal 2 6 2" xfId="113"/>
    <cellStyle name="Normal 2 6 20" xfId="114"/>
    <cellStyle name="Normal 2 6 3" xfId="115"/>
    <cellStyle name="Normal 2 6 4" xfId="116"/>
    <cellStyle name="Normal 2 6 5" xfId="117"/>
    <cellStyle name="Normal 2 6 6" xfId="118"/>
    <cellStyle name="Normal 2 6 7" xfId="119"/>
    <cellStyle name="Normal 2 6 8" xfId="120"/>
    <cellStyle name="Normal 2 6 9" xfId="121"/>
    <cellStyle name="Normal 2 7" xfId="122"/>
    <cellStyle name="Normal 2 7 10" xfId="123"/>
    <cellStyle name="Normal 2 7 11" xfId="124"/>
    <cellStyle name="Normal 2 7 12" xfId="125"/>
    <cellStyle name="Normal 2 7 13" xfId="126"/>
    <cellStyle name="Normal 2 7 14" xfId="127"/>
    <cellStyle name="Normal 2 7 15" xfId="128"/>
    <cellStyle name="Normal 2 7 16" xfId="129"/>
    <cellStyle name="Normal 2 7 17" xfId="130"/>
    <cellStyle name="Normal 2 7 18" xfId="131"/>
    <cellStyle name="Normal 2 7 19" xfId="132"/>
    <cellStyle name="Normal 2 7 2" xfId="133"/>
    <cellStyle name="Normal 2 7 20" xfId="134"/>
    <cellStyle name="Normal 2 7 3" xfId="135"/>
    <cellStyle name="Normal 2 7 4" xfId="136"/>
    <cellStyle name="Normal 2 7 5" xfId="137"/>
    <cellStyle name="Normal 2 7 6" xfId="138"/>
    <cellStyle name="Normal 2 7 7" xfId="139"/>
    <cellStyle name="Normal 2 7 8" xfId="140"/>
    <cellStyle name="Normal 2 7 9" xfId="141"/>
    <cellStyle name="Normal 2 8" xfId="142"/>
    <cellStyle name="Normal 2 9" xfId="143"/>
    <cellStyle name="Normal 2_Planilha Valença" xfId="144"/>
    <cellStyle name="Normal 29" xfId="145"/>
    <cellStyle name="Normal 3" xfId="146"/>
    <cellStyle name="Normal 3 10" xfId="147"/>
    <cellStyle name="Normal 3 11" xfId="148"/>
    <cellStyle name="Normal 3 12" xfId="149"/>
    <cellStyle name="Normal 3 13" xfId="150"/>
    <cellStyle name="Normal 3 14" xfId="151"/>
    <cellStyle name="Normal 3 15" xfId="152"/>
    <cellStyle name="Normal 3 16" xfId="153"/>
    <cellStyle name="Normal 3 17" xfId="154"/>
    <cellStyle name="Normal 3 18" xfId="155"/>
    <cellStyle name="Normal 3 19" xfId="156"/>
    <cellStyle name="Normal 3 2" xfId="157"/>
    <cellStyle name="Normal 3 20" xfId="158"/>
    <cellStyle name="Normal 3 21" xfId="159"/>
    <cellStyle name="Normal 3 3" xfId="160"/>
    <cellStyle name="Normal 3 4" xfId="161"/>
    <cellStyle name="Normal 3 5" xfId="162"/>
    <cellStyle name="Normal 3 6" xfId="163"/>
    <cellStyle name="Normal 3 7" xfId="164"/>
    <cellStyle name="Normal 3 8" xfId="165"/>
    <cellStyle name="Normal 3 9" xfId="166"/>
    <cellStyle name="Normal 4" xfId="167"/>
    <cellStyle name="Normal 4 10" xfId="168"/>
    <cellStyle name="Normal 4 11" xfId="169"/>
    <cellStyle name="Normal 4 12" xfId="170"/>
    <cellStyle name="Normal 4 13" xfId="171"/>
    <cellStyle name="Normal 4 14" xfId="172"/>
    <cellStyle name="Normal 4 15" xfId="173"/>
    <cellStyle name="Normal 4 16" xfId="174"/>
    <cellStyle name="Normal 4 17" xfId="175"/>
    <cellStyle name="Normal 4 18" xfId="176"/>
    <cellStyle name="Normal 4 19" xfId="177"/>
    <cellStyle name="Normal 4 2" xfId="178"/>
    <cellStyle name="Normal 4 20" xfId="179"/>
    <cellStyle name="Normal 4 3" xfId="180"/>
    <cellStyle name="Normal 4 4" xfId="181"/>
    <cellStyle name="Normal 4 5" xfId="182"/>
    <cellStyle name="Normal 4 6" xfId="183"/>
    <cellStyle name="Normal 4 7" xfId="184"/>
    <cellStyle name="Normal 4 8" xfId="185"/>
    <cellStyle name="Normal 4 9" xfId="186"/>
    <cellStyle name="Normal 5" xfId="187"/>
    <cellStyle name="Normal 5 10" xfId="188"/>
    <cellStyle name="Normal 5 11" xfId="189"/>
    <cellStyle name="Normal 5 12" xfId="190"/>
    <cellStyle name="Normal 5 13" xfId="191"/>
    <cellStyle name="Normal 5 14" xfId="192"/>
    <cellStyle name="Normal 5 15" xfId="193"/>
    <cellStyle name="Normal 5 16" xfId="194"/>
    <cellStyle name="Normal 5 17" xfId="195"/>
    <cellStyle name="Normal 5 18" xfId="196"/>
    <cellStyle name="Normal 5 19" xfId="197"/>
    <cellStyle name="Normal 5 2" xfId="198"/>
    <cellStyle name="Normal 5 20" xfId="199"/>
    <cellStyle name="Normal 5 3" xfId="200"/>
    <cellStyle name="Normal 5 4" xfId="201"/>
    <cellStyle name="Normal 5 5" xfId="202"/>
    <cellStyle name="Normal 5 6" xfId="203"/>
    <cellStyle name="Normal 5 7" xfId="204"/>
    <cellStyle name="Normal 5 8" xfId="205"/>
    <cellStyle name="Normal 5 9" xfId="206"/>
    <cellStyle name="Normal 6" xfId="207"/>
    <cellStyle name="Normal 6 10" xfId="208"/>
    <cellStyle name="Normal 6 11" xfId="209"/>
    <cellStyle name="Normal 6 12" xfId="210"/>
    <cellStyle name="Normal 6 13" xfId="211"/>
    <cellStyle name="Normal 6 14" xfId="212"/>
    <cellStyle name="Normal 6 15" xfId="213"/>
    <cellStyle name="Normal 6 16" xfId="214"/>
    <cellStyle name="Normal 6 17" xfId="215"/>
    <cellStyle name="Normal 6 18" xfId="216"/>
    <cellStyle name="Normal 6 19" xfId="217"/>
    <cellStyle name="Normal 6 2" xfId="218"/>
    <cellStyle name="Normal 6 20" xfId="219"/>
    <cellStyle name="Normal 6 3" xfId="220"/>
    <cellStyle name="Normal 6 4" xfId="221"/>
    <cellStyle name="Normal 6 5" xfId="222"/>
    <cellStyle name="Normal 6 6" xfId="223"/>
    <cellStyle name="Normal 6 7" xfId="224"/>
    <cellStyle name="Normal 6 8" xfId="225"/>
    <cellStyle name="Normal 6 9" xfId="226"/>
    <cellStyle name="Normal 7" xfId="227"/>
    <cellStyle name="Normal 7 10" xfId="228"/>
    <cellStyle name="Normal 7 11" xfId="229"/>
    <cellStyle name="Normal 7 12" xfId="230"/>
    <cellStyle name="Normal 7 13" xfId="231"/>
    <cellStyle name="Normal 7 14" xfId="232"/>
    <cellStyle name="Normal 7 15" xfId="233"/>
    <cellStyle name="Normal 7 16" xfId="234"/>
    <cellStyle name="Normal 7 17" xfId="235"/>
    <cellStyle name="Normal 7 18" xfId="236"/>
    <cellStyle name="Normal 7 19" xfId="237"/>
    <cellStyle name="Normal 7 2" xfId="238"/>
    <cellStyle name="Normal 7 20" xfId="239"/>
    <cellStyle name="Normal 7 3" xfId="240"/>
    <cellStyle name="Normal 7 4" xfId="241"/>
    <cellStyle name="Normal 7 5" xfId="242"/>
    <cellStyle name="Normal 7 6" xfId="243"/>
    <cellStyle name="Normal 7 7" xfId="244"/>
    <cellStyle name="Normal 7 8" xfId="245"/>
    <cellStyle name="Normal 7 9" xfId="246"/>
    <cellStyle name="Normal 8" xfId="247"/>
    <cellStyle name="Normal 9" xfId="248"/>
    <cellStyle name="Normal_ORÇAMENTO-HAB" xfId="249"/>
    <cellStyle name="Normal_Planilha Elesbão Veloso - Urgência e Acesso Lavanderia" xfId="382"/>
    <cellStyle name="Porcentagem" xfId="250" builtinId="5"/>
    <cellStyle name="Porcentagem 2" xfId="251"/>
    <cellStyle name="Porcentagem 2 2" xfId="252"/>
    <cellStyle name="Porcentagem 2 3" xfId="253"/>
    <cellStyle name="Separador de milhares 10" xfId="255"/>
    <cellStyle name="Separador de milhares 2" xfId="256"/>
    <cellStyle name="Separador de milhares 2 10" xfId="257"/>
    <cellStyle name="Separador de milhares 2 11" xfId="258"/>
    <cellStyle name="Separador de milhares 2 12" xfId="259"/>
    <cellStyle name="Separador de milhares 2 13" xfId="260"/>
    <cellStyle name="Separador de milhares 2 14" xfId="261"/>
    <cellStyle name="Separador de milhares 2 15" xfId="262"/>
    <cellStyle name="Separador de milhares 2 16" xfId="263"/>
    <cellStyle name="Separador de milhares 2 17" xfId="264"/>
    <cellStyle name="Separador de milhares 2 18" xfId="265"/>
    <cellStyle name="Separador de milhares 2 19" xfId="266"/>
    <cellStyle name="Separador de milhares 2 2" xfId="267"/>
    <cellStyle name="Separador de milhares 2 20" xfId="268"/>
    <cellStyle name="Separador de milhares 2 21" xfId="269"/>
    <cellStyle name="Separador de milhares 2 3" xfId="270"/>
    <cellStyle name="Separador de milhares 2 4" xfId="271"/>
    <cellStyle name="Separador de milhares 2 5" xfId="272"/>
    <cellStyle name="Separador de milhares 2 6" xfId="273"/>
    <cellStyle name="Separador de milhares 2 7" xfId="274"/>
    <cellStyle name="Separador de milhares 2 8" xfId="275"/>
    <cellStyle name="Separador de milhares 2 9" xfId="276"/>
    <cellStyle name="Separador de milhares 29" xfId="277"/>
    <cellStyle name="Separador de milhares 3" xfId="278"/>
    <cellStyle name="Separador de milhares 3 10" xfId="279"/>
    <cellStyle name="Separador de milhares 3 11" xfId="280"/>
    <cellStyle name="Separador de milhares 3 12" xfId="281"/>
    <cellStyle name="Separador de milhares 3 13" xfId="282"/>
    <cellStyle name="Separador de milhares 3 14" xfId="283"/>
    <cellStyle name="Separador de milhares 3 15" xfId="284"/>
    <cellStyle name="Separador de milhares 3 16" xfId="285"/>
    <cellStyle name="Separador de milhares 3 17" xfId="286"/>
    <cellStyle name="Separador de milhares 3 18" xfId="287"/>
    <cellStyle name="Separador de milhares 3 19" xfId="288"/>
    <cellStyle name="Separador de milhares 3 2" xfId="289"/>
    <cellStyle name="Separador de milhares 3 20" xfId="290"/>
    <cellStyle name="Separador de milhares 3 3" xfId="291"/>
    <cellStyle name="Separador de milhares 3 4" xfId="292"/>
    <cellStyle name="Separador de milhares 3 5" xfId="293"/>
    <cellStyle name="Separador de milhares 3 6" xfId="294"/>
    <cellStyle name="Separador de milhares 3 7" xfId="295"/>
    <cellStyle name="Separador de milhares 3 8" xfId="296"/>
    <cellStyle name="Separador de milhares 3 9" xfId="297"/>
    <cellStyle name="Separador de milhares 4" xfId="298"/>
    <cellStyle name="Separador de milhares 4 10" xfId="299"/>
    <cellStyle name="Separador de milhares 4 11" xfId="300"/>
    <cellStyle name="Separador de milhares 4 12" xfId="301"/>
    <cellStyle name="Separador de milhares 4 13" xfId="302"/>
    <cellStyle name="Separador de milhares 4 14" xfId="303"/>
    <cellStyle name="Separador de milhares 4 15" xfId="304"/>
    <cellStyle name="Separador de milhares 4 16" xfId="305"/>
    <cellStyle name="Separador de milhares 4 17" xfId="306"/>
    <cellStyle name="Separador de milhares 4 18" xfId="307"/>
    <cellStyle name="Separador de milhares 4 19" xfId="308"/>
    <cellStyle name="Separador de milhares 4 2" xfId="309"/>
    <cellStyle name="Separador de milhares 4 20" xfId="310"/>
    <cellStyle name="Separador de milhares 4 3" xfId="311"/>
    <cellStyle name="Separador de milhares 4 4" xfId="312"/>
    <cellStyle name="Separador de milhares 4 5" xfId="313"/>
    <cellStyle name="Separador de milhares 4 6" xfId="314"/>
    <cellStyle name="Separador de milhares 4 7" xfId="315"/>
    <cellStyle name="Separador de milhares 4 8" xfId="316"/>
    <cellStyle name="Separador de milhares 4 9" xfId="317"/>
    <cellStyle name="Separador de milhares 5" xfId="318"/>
    <cellStyle name="Separador de milhares 5 10" xfId="319"/>
    <cellStyle name="Separador de milhares 5 11" xfId="320"/>
    <cellStyle name="Separador de milhares 5 12" xfId="321"/>
    <cellStyle name="Separador de milhares 5 13" xfId="322"/>
    <cellStyle name="Separador de milhares 5 14" xfId="323"/>
    <cellStyle name="Separador de milhares 5 15" xfId="324"/>
    <cellStyle name="Separador de milhares 5 16" xfId="325"/>
    <cellStyle name="Separador de milhares 5 17" xfId="326"/>
    <cellStyle name="Separador de milhares 5 18" xfId="327"/>
    <cellStyle name="Separador de milhares 5 19" xfId="328"/>
    <cellStyle name="Separador de milhares 5 2" xfId="329"/>
    <cellStyle name="Separador de milhares 5 20" xfId="330"/>
    <cellStyle name="Separador de milhares 5 3" xfId="331"/>
    <cellStyle name="Separador de milhares 5 4" xfId="332"/>
    <cellStyle name="Separador de milhares 5 5" xfId="333"/>
    <cellStyle name="Separador de milhares 5 6" xfId="334"/>
    <cellStyle name="Separador de milhares 5 7" xfId="335"/>
    <cellStyle name="Separador de milhares 5 8" xfId="336"/>
    <cellStyle name="Separador de milhares 5 9" xfId="337"/>
    <cellStyle name="Separador de milhares 6" xfId="338"/>
    <cellStyle name="Separador de milhares 6 10" xfId="339"/>
    <cellStyle name="Separador de milhares 6 11" xfId="340"/>
    <cellStyle name="Separador de milhares 6 12" xfId="341"/>
    <cellStyle name="Separador de milhares 6 13" xfId="342"/>
    <cellStyle name="Separador de milhares 6 14" xfId="343"/>
    <cellStyle name="Separador de milhares 6 15" xfId="344"/>
    <cellStyle name="Separador de milhares 6 16" xfId="345"/>
    <cellStyle name="Separador de milhares 6 17" xfId="346"/>
    <cellStyle name="Separador de milhares 6 18" xfId="347"/>
    <cellStyle name="Separador de milhares 6 19" xfId="348"/>
    <cellStyle name="Separador de milhares 6 2" xfId="349"/>
    <cellStyle name="Separador de milhares 6 20" xfId="350"/>
    <cellStyle name="Separador de milhares 6 3" xfId="351"/>
    <cellStyle name="Separador de milhares 6 4" xfId="352"/>
    <cellStyle name="Separador de milhares 6 5" xfId="353"/>
    <cellStyle name="Separador de milhares 6 6" xfId="354"/>
    <cellStyle name="Separador de milhares 6 7" xfId="355"/>
    <cellStyle name="Separador de milhares 6 8" xfId="356"/>
    <cellStyle name="Separador de milhares 6 9" xfId="357"/>
    <cellStyle name="Separador de milhares 7" xfId="358"/>
    <cellStyle name="Separador de milhares 7 10" xfId="359"/>
    <cellStyle name="Separador de milhares 7 11" xfId="360"/>
    <cellStyle name="Separador de milhares 7 12" xfId="361"/>
    <cellStyle name="Separador de milhares 7 13" xfId="362"/>
    <cellStyle name="Separador de milhares 7 14" xfId="363"/>
    <cellStyle name="Separador de milhares 7 15" xfId="364"/>
    <cellStyle name="Separador de milhares 7 16" xfId="365"/>
    <cellStyle name="Separador de milhares 7 17" xfId="366"/>
    <cellStyle name="Separador de milhares 7 18" xfId="367"/>
    <cellStyle name="Separador de milhares 7 19" xfId="368"/>
    <cellStyle name="Separador de milhares 7 2" xfId="369"/>
    <cellStyle name="Separador de milhares 7 20" xfId="370"/>
    <cellStyle name="Separador de milhares 7 3" xfId="371"/>
    <cellStyle name="Separador de milhares 7 4" xfId="372"/>
    <cellStyle name="Separador de milhares 7 5" xfId="373"/>
    <cellStyle name="Separador de milhares 7 6" xfId="374"/>
    <cellStyle name="Separador de milhares 7 7" xfId="375"/>
    <cellStyle name="Separador de milhares 7 8" xfId="376"/>
    <cellStyle name="Separador de milhares 7 9" xfId="377"/>
    <cellStyle name="Separador de milhares 8" xfId="378"/>
    <cellStyle name="Separador de milhares 9" xfId="379"/>
    <cellStyle name="Separador de milhares 9 2" xfId="380"/>
    <cellStyle name="Vírgula" xfId="254" builtinId="3"/>
    <cellStyle name="Vírgula 2" xfId="3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1111250</xdr:colOff>
      <xdr:row>1</xdr:row>
      <xdr:rowOff>1</xdr:rowOff>
    </xdr:from>
    <xdr:to>
      <xdr:col>5</xdr:col>
      <xdr:colOff>3922</xdr:colOff>
      <xdr:row>6</xdr:row>
      <xdr:rowOff>171450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978025" y="190501"/>
          <a:ext cx="4302872" cy="1095374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 editAs="oneCell">
    <xdr:from>
      <xdr:col>1</xdr:col>
      <xdr:colOff>77391</xdr:colOff>
      <xdr:row>1</xdr:row>
      <xdr:rowOff>1988</xdr:rowOff>
    </xdr:from>
    <xdr:to>
      <xdr:col>2</xdr:col>
      <xdr:colOff>1009650</xdr:colOff>
      <xdr:row>7</xdr:row>
      <xdr:rowOff>47321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716" y="192488"/>
          <a:ext cx="1484709" cy="1159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1728108</xdr:colOff>
      <xdr:row>1</xdr:row>
      <xdr:rowOff>13608</xdr:rowOff>
    </xdr:from>
    <xdr:to>
      <xdr:col>3</xdr:col>
      <xdr:colOff>23812</xdr:colOff>
      <xdr:row>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47296" y="251733"/>
          <a:ext cx="7582579" cy="1415142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000000"/>
              </a:solidFill>
              <a:latin typeface="Arial Narrow"/>
            </a:rPr>
            <a:t>SECRETARIA DE ESTADO</a:t>
          </a:r>
          <a:r>
            <a:rPr lang="pt-BR" sz="2800" b="1" i="0" strike="noStrike" baseline="0">
              <a:solidFill>
                <a:srgbClr val="000000"/>
              </a:solidFill>
              <a:latin typeface="Arial Narrow"/>
            </a:rPr>
            <a:t> DA SAÚDE</a:t>
          </a:r>
          <a:endParaRPr lang="pt-BR" sz="2800" b="1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 editAs="oneCell">
    <xdr:from>
      <xdr:col>1</xdr:col>
      <xdr:colOff>40823</xdr:colOff>
      <xdr:row>1</xdr:row>
      <xdr:rowOff>27216</xdr:rowOff>
    </xdr:from>
    <xdr:to>
      <xdr:col>2</xdr:col>
      <xdr:colOff>1491110</xdr:colOff>
      <xdr:row>7</xdr:row>
      <xdr:rowOff>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7" y="258537"/>
          <a:ext cx="2000249" cy="1360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16144</xdr:colOff>
      <xdr:row>1</xdr:row>
      <xdr:rowOff>16143</xdr:rowOff>
    </xdr:from>
    <xdr:to>
      <xdr:col>5</xdr:col>
      <xdr:colOff>1145</xdr:colOff>
      <xdr:row>6</xdr:row>
      <xdr:rowOff>218042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86837" y="211233"/>
          <a:ext cx="3760573" cy="134949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lnSpc>
              <a:spcPts val="2400"/>
            </a:lnSpc>
            <a:defRPr sz="1000"/>
          </a:pPr>
          <a:r>
            <a:rPr lang="pt-BR" sz="22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2</xdr:col>
      <xdr:colOff>3409950</xdr:colOff>
      <xdr:row>6</xdr:row>
      <xdr:rowOff>190500</xdr:rowOff>
    </xdr:to>
    <xdr:pic>
      <xdr:nvPicPr>
        <xdr:cNvPr id="367681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304800"/>
          <a:ext cx="3667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2202657</xdr:colOff>
      <xdr:row>16</xdr:row>
      <xdr:rowOff>1</xdr:rowOff>
    </xdr:from>
    <xdr:to>
      <xdr:col>4</xdr:col>
      <xdr:colOff>3202781</xdr:colOff>
      <xdr:row>23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726532" y="2893220"/>
          <a:ext cx="5036343" cy="155971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 editAs="oneCell">
    <xdr:from>
      <xdr:col>2</xdr:col>
      <xdr:colOff>29767</xdr:colOff>
      <xdr:row>16</xdr:row>
      <xdr:rowOff>49611</xdr:rowOff>
    </xdr:from>
    <xdr:to>
      <xdr:col>2</xdr:col>
      <xdr:colOff>2226469</xdr:colOff>
      <xdr:row>23</xdr:row>
      <xdr:rowOff>190498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17" y="3526236"/>
          <a:ext cx="2196702" cy="149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797442</xdr:colOff>
      <xdr:row>1</xdr:row>
      <xdr:rowOff>44303</xdr:rowOff>
    </xdr:from>
    <xdr:to>
      <xdr:col>3</xdr:col>
      <xdr:colOff>11076</xdr:colOff>
      <xdr:row>6</xdr:row>
      <xdr:rowOff>210435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226192" y="276890"/>
          <a:ext cx="2813198" cy="132906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 editAs="oneCell">
    <xdr:from>
      <xdr:col>1</xdr:col>
      <xdr:colOff>22152</xdr:colOff>
      <xdr:row>1</xdr:row>
      <xdr:rowOff>0</xdr:rowOff>
    </xdr:from>
    <xdr:to>
      <xdr:col>2</xdr:col>
      <xdr:colOff>874972</xdr:colOff>
      <xdr:row>7</xdr:row>
      <xdr:rowOff>33227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68" y="232587"/>
          <a:ext cx="1971454" cy="1428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18</xdr:row>
      <xdr:rowOff>47625</xdr:rowOff>
    </xdr:from>
    <xdr:to>
      <xdr:col>12</xdr:col>
      <xdr:colOff>19050</xdr:colOff>
      <xdr:row>29</xdr:row>
      <xdr:rowOff>133350</xdr:rowOff>
    </xdr:to>
    <xdr:pic>
      <xdr:nvPicPr>
        <xdr:cNvPr id="369728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2531" t="-5362" r="-2596" b="-7764"/>
        <a:stretch>
          <a:fillRect/>
        </a:stretch>
      </xdr:blipFill>
      <xdr:spPr bwMode="auto">
        <a:xfrm>
          <a:off x="609600" y="4619625"/>
          <a:ext cx="441007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2</xdr:row>
      <xdr:rowOff>380999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1943100" cy="1142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cuments/NIS%20-%20SESAPI/TERESINA/REFORMA%20DA%20SALA%20DE%20TOMADAS%20DE%20CON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Roaming/Microsoft/Suplementos/VExten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a Orçamentária"/>
      <sheetName val="Cronograma"/>
      <sheetName val="Memorial de Cálculo"/>
      <sheetName val="Composições de Custo"/>
      <sheetName val="BDI"/>
    </sheetNames>
    <sheetDataSet>
      <sheetData sheetId="0"/>
      <sheetData sheetId="1"/>
      <sheetData sheetId="2">
        <row r="42">
          <cell r="C42" t="str">
            <v>CABO DE COBRE FLEXÍVEL ISOLADO, 2,5 MM², ANTI-CHAMA 450/750 V, PARA CIRCUITOS TERMINAIS - FORNECIMENTO E INSTALAÇÃO. AF_12/2015</v>
          </cell>
          <cell r="D42" t="str">
            <v>M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162.60000000000002</v>
          </cell>
        </row>
        <row r="43">
          <cell r="C43">
            <v>0</v>
          </cell>
          <cell r="D43">
            <v>0</v>
          </cell>
          <cell r="E43" t="str">
            <v>CIRCUITO DE ILUMINAÇÃO</v>
          </cell>
          <cell r="F43">
            <v>0</v>
          </cell>
          <cell r="G43">
            <v>0</v>
          </cell>
          <cell r="H43">
            <v>27.1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3</v>
          </cell>
          <cell r="N43">
            <v>81.300000000000011</v>
          </cell>
        </row>
        <row r="44">
          <cell r="C44">
            <v>0</v>
          </cell>
          <cell r="D44">
            <v>0</v>
          </cell>
          <cell r="E44" t="str">
            <v>CIRCUITO DE TOMADAS</v>
          </cell>
          <cell r="F44">
            <v>0</v>
          </cell>
          <cell r="G44">
            <v>0</v>
          </cell>
          <cell r="H44">
            <v>27.1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3</v>
          </cell>
          <cell r="N44">
            <v>81.300000000000011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CABO DE COBRE FLEXÍVEL ISOLADO, 4 MM², ANTI-CHAMA 450/750 V, PARA CIRCUITOS TERMINAIS - FORNECIMENTO E INSTALAÇÃO. AF_12/2015</v>
          </cell>
          <cell r="D46" t="str">
            <v>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32.4</v>
          </cell>
        </row>
        <row r="47">
          <cell r="C47">
            <v>0</v>
          </cell>
          <cell r="D47">
            <v>0</v>
          </cell>
          <cell r="E47" t="str">
            <v>CIRCUITO DE AR-CONDICIONADO</v>
          </cell>
          <cell r="F47">
            <v>0</v>
          </cell>
          <cell r="G47">
            <v>0</v>
          </cell>
          <cell r="H47">
            <v>8.1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4</v>
          </cell>
          <cell r="N47">
            <v>32.4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DISJUNTOR TERMOMAGNETICO MONOPOLAR PADRAO NEMA (AMERICANO) 15A 240V, FORNECIMENTO E INSTALACAO</v>
          </cell>
          <cell r="D49" t="str">
            <v>UNID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</v>
          </cell>
        </row>
        <row r="50">
          <cell r="C50">
            <v>0</v>
          </cell>
          <cell r="D50">
            <v>0</v>
          </cell>
          <cell r="E50" t="str">
            <v>RECEPÇÃO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2</v>
          </cell>
          <cell r="N50">
            <v>2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DISJUNTOR TERMOMAGNETICO TRIPOLAR PADRAO NEMA (AMERICANO) 15A 240V, FORNECIMENTO E INSTALACAO</v>
          </cell>
          <cell r="D52" t="str">
            <v>UNID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</v>
          </cell>
        </row>
        <row r="53">
          <cell r="C53">
            <v>0</v>
          </cell>
          <cell r="D53">
            <v>0</v>
          </cell>
          <cell r="E53" t="str">
            <v>RECEPÇÃO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</v>
          </cell>
          <cell r="N53">
            <v>2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 t="str">
            <v>QUADRO DE DISTRIBUIÇÃO DE EMBUTIR, COM BARRAMENTO, PARA ATÉ 8 DISJUNTORES PADRÃO EUROPEU (LINHA BRANCA), EXCLUSIVE DISJUNTORES</v>
          </cell>
          <cell r="D55" t="str">
            <v>UNID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</v>
          </cell>
        </row>
        <row r="56">
          <cell r="C56">
            <v>0</v>
          </cell>
          <cell r="D56">
            <v>0</v>
          </cell>
          <cell r="E56" t="str">
            <v>RECEPÇÃO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1</v>
          </cell>
          <cell r="N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 t="str">
            <v>PONTO DE ILUMINAÇÃO INCLUINDO INTERRUPTOR SIMPLES (2 MÓDULOS), CAIXA ELÉTRICA, ELETRODUTO, CABO, RASGO, QUEBRA E CHUMBAMENTO (EXCLUINDO LUMINÁRIA E LÂMPADA). AF_01/2016</v>
          </cell>
          <cell r="D59" t="str">
            <v>UNID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2</v>
          </cell>
        </row>
        <row r="60">
          <cell r="C60">
            <v>0</v>
          </cell>
          <cell r="D60">
            <v>0</v>
          </cell>
          <cell r="E60" t="str">
            <v>RECEPÇÃO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2</v>
          </cell>
          <cell r="N60">
            <v>2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 t="str">
            <v>PONTO DE TOMADA RESIDENCIAL INCLUINDO TOMADA 20A/250V, CAIXA ELÉTRICA, ELETRODUTO, CABO, RASGO, QUEBRA E CHUMBAMENTO. AF_01/2016 (AR CONDICIONADO)</v>
          </cell>
          <cell r="D62" t="str">
            <v>UNID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2</v>
          </cell>
        </row>
        <row r="63">
          <cell r="C63">
            <v>0</v>
          </cell>
          <cell r="D63">
            <v>0</v>
          </cell>
          <cell r="E63" t="str">
            <v>RECEPÇÃO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</v>
          </cell>
          <cell r="N63">
            <v>1</v>
          </cell>
        </row>
        <row r="64">
          <cell r="C64">
            <v>0</v>
          </cell>
          <cell r="D64">
            <v>0</v>
          </cell>
          <cell r="E64" t="str">
            <v>TOMADA DE CONTAS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1</v>
          </cell>
          <cell r="N64">
            <v>1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 t="str">
            <v xml:space="preserve">PONTO DE TOMADA RESIDENCIAL INCLUINDO TOMADA 20A/250V, CAIXA ELÉTRICA, ELETRODUTO, CABO, RASGO, QUEBRA E CHUMBAMENTO. AF_01/2016 </v>
          </cell>
          <cell r="D66" t="str">
            <v>UNID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9</v>
          </cell>
        </row>
        <row r="67">
          <cell r="C67">
            <v>0</v>
          </cell>
          <cell r="D67">
            <v>0</v>
          </cell>
          <cell r="E67" t="str">
            <v>RECEPÇÃO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</v>
          </cell>
          <cell r="N67">
            <v>4</v>
          </cell>
        </row>
        <row r="68">
          <cell r="C68">
            <v>0</v>
          </cell>
          <cell r="D68">
            <v>0</v>
          </cell>
          <cell r="E68" t="str">
            <v>TOMADA DE CONTAS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</v>
          </cell>
          <cell r="N68">
            <v>5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 t="str">
            <v>TOMADA DUPLA PARA LÓGICA RJ45, 4"X2", EMBUTIR, COMPLETA, REF.0605, FAME OU SIMILAR</v>
          </cell>
          <cell r="D70" t="str">
            <v>UNID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5</v>
          </cell>
        </row>
        <row r="71">
          <cell r="C71">
            <v>0</v>
          </cell>
          <cell r="D71">
            <v>0</v>
          </cell>
          <cell r="E71" t="str">
            <v>RECEPÇÃO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3</v>
          </cell>
          <cell r="N71">
            <v>3</v>
          </cell>
        </row>
        <row r="72">
          <cell r="C72">
            <v>0</v>
          </cell>
          <cell r="D72">
            <v>0</v>
          </cell>
          <cell r="E72" t="str">
            <v>TOMADA DE CONTAS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</v>
          </cell>
          <cell r="N72">
            <v>2</v>
          </cell>
        </row>
        <row r="73">
          <cell r="C73" t="str">
            <v>LUMINÁRIA FLUORESCENTE TUBULAR, 2 X 40 W / 127 V, COMPLETA - REV. 01</v>
          </cell>
          <cell r="D73" t="str">
            <v>UNID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4</v>
          </cell>
        </row>
        <row r="74">
          <cell r="C74">
            <v>0</v>
          </cell>
          <cell r="D74">
            <v>0</v>
          </cell>
          <cell r="E74" t="str">
            <v>RECEPÇÃO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2</v>
          </cell>
          <cell r="N74">
            <v>2</v>
          </cell>
        </row>
        <row r="75">
          <cell r="C75">
            <v>0</v>
          </cell>
          <cell r="D75">
            <v>0</v>
          </cell>
          <cell r="E75" t="str">
            <v>TOMADA DE CONTAS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</v>
          </cell>
          <cell r="N75">
            <v>2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 t="str">
            <v>INSTALAÇÕES HIDRAÚLICAS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 t="str">
            <v>TUBO, PVC, SOLDÁVEL, DN 25MM, INSTALADO EM DRENO DE AR-CONDICIONADO</v>
          </cell>
          <cell r="D79" t="str">
            <v>M</v>
          </cell>
          <cell r="E79">
            <v>0</v>
          </cell>
          <cell r="F79">
            <v>0</v>
          </cell>
          <cell r="G79">
            <v>0</v>
          </cell>
          <cell r="H79">
            <v>7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7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 t="str">
            <v>DIVERSOS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 t="str">
            <v>LIMPEZA FINAL DA OBRA</v>
          </cell>
          <cell r="D82" t="str">
            <v>M2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24.71</v>
          </cell>
        </row>
        <row r="83">
          <cell r="C83">
            <v>0</v>
          </cell>
          <cell r="D83">
            <v>0</v>
          </cell>
          <cell r="E83" t="str">
            <v>RECEPÇÃO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13.31</v>
          </cell>
          <cell r="L83">
            <v>0</v>
          </cell>
          <cell r="M83">
            <v>0</v>
          </cell>
          <cell r="N83">
            <v>13.31</v>
          </cell>
        </row>
        <row r="84">
          <cell r="C84">
            <v>0</v>
          </cell>
          <cell r="D84">
            <v>0</v>
          </cell>
          <cell r="E84" t="str">
            <v>TOMADA DE CONTAS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11.4</v>
          </cell>
          <cell r="L84">
            <v>0</v>
          </cell>
          <cell r="M84">
            <v>0</v>
          </cell>
          <cell r="N84">
            <v>11.4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 t="str">
            <v>Teresina (PI),  06 de dezembro de 2017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VExtenso"/>
    </sheetNames>
    <definedNames>
      <definedName name="VExtenso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view="pageBreakPreview" zoomScale="85" zoomScaleNormal="100" zoomScaleSheetLayoutView="85" workbookViewId="0">
      <selection activeCell="I39" sqref="I39"/>
    </sheetView>
  </sheetViews>
  <sheetFormatPr defaultRowHeight="14.25" x14ac:dyDescent="0.25"/>
  <cols>
    <col min="1" max="1" width="4.7109375" style="27" customWidth="1"/>
    <col min="2" max="2" width="8.28515625" style="24" customWidth="1"/>
    <col min="3" max="3" width="59.28515625" style="21" customWidth="1"/>
    <col min="4" max="4" width="10.85546875" style="21" customWidth="1"/>
    <col min="5" max="5" width="11" style="21" bestFit="1" customWidth="1"/>
    <col min="6" max="6" width="7.85546875" style="22" customWidth="1"/>
    <col min="7" max="7" width="8.42578125" style="25" bestFit="1" customWidth="1"/>
    <col min="8" max="8" width="16.140625" style="23" customWidth="1"/>
    <col min="9" max="9" width="12" style="23" customWidth="1"/>
    <col min="10" max="10" width="17.7109375" style="21" customWidth="1"/>
    <col min="11" max="11" width="12.140625" style="21" bestFit="1" customWidth="1"/>
    <col min="12" max="32" width="9.140625" style="27"/>
    <col min="33" max="16384" width="9.140625" style="21"/>
  </cols>
  <sheetData>
    <row r="1" spans="1:32" ht="15" thickBot="1" x14ac:dyDescent="0.3">
      <c r="B1" s="26"/>
      <c r="C1" s="27"/>
      <c r="D1" s="27"/>
      <c r="E1" s="27"/>
      <c r="F1" s="28"/>
      <c r="G1" s="29"/>
      <c r="H1" s="30"/>
      <c r="I1" s="30"/>
      <c r="J1" s="27"/>
      <c r="K1" s="27"/>
    </row>
    <row r="2" spans="1:32" x14ac:dyDescent="0.25">
      <c r="B2" s="419"/>
      <c r="C2" s="420"/>
      <c r="D2" s="420"/>
      <c r="E2" s="420"/>
      <c r="F2" s="409" t="s">
        <v>16</v>
      </c>
      <c r="G2" s="410"/>
      <c r="H2" s="410"/>
      <c r="I2" s="410"/>
      <c r="J2" s="410"/>
      <c r="K2" s="411"/>
    </row>
    <row r="3" spans="1:32" ht="15" thickBot="1" x14ac:dyDescent="0.3">
      <c r="B3" s="421"/>
      <c r="C3" s="422"/>
      <c r="D3" s="422"/>
      <c r="E3" s="422"/>
      <c r="F3" s="412"/>
      <c r="G3" s="413"/>
      <c r="H3" s="413"/>
      <c r="I3" s="413"/>
      <c r="J3" s="413"/>
      <c r="K3" s="414"/>
    </row>
    <row r="4" spans="1:32" x14ac:dyDescent="0.25">
      <c r="B4" s="421"/>
      <c r="C4" s="422"/>
      <c r="D4" s="422"/>
      <c r="E4" s="422"/>
      <c r="F4" s="409" t="s">
        <v>15</v>
      </c>
      <c r="G4" s="410"/>
      <c r="H4" s="410"/>
      <c r="I4" s="410"/>
      <c r="J4" s="410"/>
      <c r="K4" s="411"/>
    </row>
    <row r="5" spans="1:32" ht="15" thickBot="1" x14ac:dyDescent="0.3">
      <c r="B5" s="421"/>
      <c r="C5" s="422"/>
      <c r="D5" s="422"/>
      <c r="E5" s="422"/>
      <c r="F5" s="412"/>
      <c r="G5" s="413"/>
      <c r="H5" s="413"/>
      <c r="I5" s="413"/>
      <c r="J5" s="413"/>
      <c r="K5" s="414"/>
    </row>
    <row r="6" spans="1:32" x14ac:dyDescent="0.25">
      <c r="B6" s="421"/>
      <c r="C6" s="422"/>
      <c r="D6" s="422"/>
      <c r="E6" s="422"/>
      <c r="F6" s="409" t="s">
        <v>12</v>
      </c>
      <c r="G6" s="410"/>
      <c r="H6" s="410"/>
      <c r="I6" s="410"/>
      <c r="J6" s="410"/>
      <c r="K6" s="411"/>
    </row>
    <row r="7" spans="1:32" ht="15" thickBot="1" x14ac:dyDescent="0.3">
      <c r="B7" s="421"/>
      <c r="C7" s="422"/>
      <c r="D7" s="422"/>
      <c r="E7" s="422"/>
      <c r="F7" s="412"/>
      <c r="G7" s="413"/>
      <c r="H7" s="413"/>
      <c r="I7" s="413"/>
      <c r="J7" s="413"/>
      <c r="K7" s="414"/>
    </row>
    <row r="8" spans="1:32" ht="37.5" customHeight="1" thickBot="1" x14ac:dyDescent="0.3">
      <c r="B8" s="430" t="s">
        <v>372</v>
      </c>
      <c r="C8" s="431"/>
      <c r="D8" s="431"/>
      <c r="E8" s="432"/>
      <c r="F8" s="433" t="s">
        <v>305</v>
      </c>
      <c r="G8" s="434"/>
      <c r="H8" s="434"/>
      <c r="I8" s="434"/>
      <c r="J8" s="434"/>
      <c r="K8" s="435"/>
    </row>
    <row r="9" spans="1:32" ht="16.5" customHeight="1" thickBot="1" x14ac:dyDescent="0.3">
      <c r="B9" s="430" t="s">
        <v>306</v>
      </c>
      <c r="C9" s="431"/>
      <c r="D9" s="431"/>
      <c r="E9" s="431"/>
      <c r="F9" s="433" t="s">
        <v>335</v>
      </c>
      <c r="G9" s="434"/>
      <c r="H9" s="434"/>
      <c r="I9" s="434"/>
      <c r="J9" s="434"/>
      <c r="K9" s="435"/>
    </row>
    <row r="10" spans="1:32" ht="18" x14ac:dyDescent="0.25">
      <c r="B10" s="425" t="s">
        <v>23</v>
      </c>
      <c r="C10" s="426"/>
      <c r="D10" s="426"/>
      <c r="E10" s="426"/>
      <c r="F10" s="426"/>
      <c r="G10" s="426"/>
      <c r="H10" s="426"/>
      <c r="I10" s="426"/>
      <c r="J10" s="426"/>
      <c r="K10" s="427"/>
    </row>
    <row r="11" spans="1:32" ht="31.5" x14ac:dyDescent="0.25">
      <c r="B11" s="423" t="s">
        <v>0</v>
      </c>
      <c r="C11" s="415" t="s">
        <v>1</v>
      </c>
      <c r="D11" s="415" t="s">
        <v>70</v>
      </c>
      <c r="E11" s="415" t="s">
        <v>44</v>
      </c>
      <c r="F11" s="415" t="s">
        <v>25</v>
      </c>
      <c r="G11" s="415" t="s">
        <v>24</v>
      </c>
      <c r="H11" s="417" t="s">
        <v>41</v>
      </c>
      <c r="I11" s="230" t="s">
        <v>86</v>
      </c>
      <c r="J11" s="415" t="s">
        <v>42</v>
      </c>
      <c r="K11" s="428" t="s">
        <v>13</v>
      </c>
    </row>
    <row r="12" spans="1:32" ht="15.75" x14ac:dyDescent="0.25">
      <c r="B12" s="424"/>
      <c r="C12" s="416"/>
      <c r="D12" s="416"/>
      <c r="E12" s="416"/>
      <c r="F12" s="416"/>
      <c r="G12" s="416"/>
      <c r="H12" s="418"/>
      <c r="I12" s="231">
        <v>0.25919999999999999</v>
      </c>
      <c r="J12" s="416"/>
      <c r="K12" s="429"/>
    </row>
    <row r="13" spans="1:32" ht="20.25" x14ac:dyDescent="0.25">
      <c r="B13" s="436" t="s">
        <v>360</v>
      </c>
      <c r="C13" s="437"/>
      <c r="D13" s="437"/>
      <c r="E13" s="437"/>
      <c r="F13" s="437"/>
      <c r="G13" s="437"/>
      <c r="H13" s="437"/>
      <c r="I13" s="437"/>
      <c r="J13" s="437"/>
      <c r="K13" s="438"/>
    </row>
    <row r="14" spans="1:32" s="242" customFormat="1" ht="15.75" x14ac:dyDescent="0.25">
      <c r="A14" s="245"/>
      <c r="B14" s="353" t="s">
        <v>2</v>
      </c>
      <c r="C14" s="232" t="s">
        <v>43</v>
      </c>
      <c r="D14" s="233"/>
      <c r="E14" s="233"/>
      <c r="F14" s="233"/>
      <c r="G14" s="233"/>
      <c r="H14" s="233"/>
      <c r="I14" s="234"/>
      <c r="J14" s="235">
        <f>SUM(J15:J15)</f>
        <v>393.82</v>
      </c>
      <c r="K14" s="354">
        <f>J14/$J$26</f>
        <v>6.1932679545325886E-2</v>
      </c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</row>
    <row r="15" spans="1:32" s="243" customFormat="1" ht="12.75" x14ac:dyDescent="0.25">
      <c r="A15" s="248"/>
      <c r="B15" s="355" t="s">
        <v>319</v>
      </c>
      <c r="C15" s="292" t="s">
        <v>308</v>
      </c>
      <c r="D15" s="236" t="s">
        <v>74</v>
      </c>
      <c r="E15" s="237" t="s">
        <v>307</v>
      </c>
      <c r="F15" s="238" t="s">
        <v>91</v>
      </c>
      <c r="G15" s="293">
        <f>7.25*2.8</f>
        <v>20.299999999999997</v>
      </c>
      <c r="H15" s="239">
        <v>15.41</v>
      </c>
      <c r="I15" s="240">
        <f t="shared" ref="I15" si="0">ROUND((1+I$12)*H15,2)</f>
        <v>19.399999999999999</v>
      </c>
      <c r="J15" s="240">
        <f t="shared" ref="J15" si="1">ROUND((G15*I15),2)</f>
        <v>393.82</v>
      </c>
      <c r="K15" s="356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</row>
    <row r="16" spans="1:32" s="242" customFormat="1" ht="15.75" x14ac:dyDescent="0.25">
      <c r="A16" s="245"/>
      <c r="B16" s="357" t="s">
        <v>313</v>
      </c>
      <c r="C16" s="295" t="s">
        <v>323</v>
      </c>
      <c r="D16" s="296"/>
      <c r="E16" s="296"/>
      <c r="F16" s="296"/>
      <c r="G16" s="296"/>
      <c r="H16" s="296"/>
      <c r="I16" s="297"/>
      <c r="J16" s="298">
        <f>SUM(J17:J19)</f>
        <v>5622.8099999999995</v>
      </c>
      <c r="K16" s="358">
        <f>J16/$J$26</f>
        <v>0.88425090110774929</v>
      </c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</row>
    <row r="17" spans="1:32" s="242" customFormat="1" ht="15.75" x14ac:dyDescent="0.2">
      <c r="A17" s="245"/>
      <c r="B17" s="355" t="s">
        <v>314</v>
      </c>
      <c r="C17" s="294" t="s">
        <v>309</v>
      </c>
      <c r="D17" s="236" t="s">
        <v>74</v>
      </c>
      <c r="E17" s="237" t="s">
        <v>307</v>
      </c>
      <c r="F17" s="238" t="s">
        <v>91</v>
      </c>
      <c r="G17" s="293">
        <f>5.2*2.2</f>
        <v>11.440000000000001</v>
      </c>
      <c r="H17" s="239">
        <v>15.41</v>
      </c>
      <c r="I17" s="240">
        <f t="shared" ref="I17" si="2">ROUND((1+I$12)*H17,2)</f>
        <v>19.399999999999999</v>
      </c>
      <c r="J17" s="240">
        <f t="shared" ref="J17" si="3">ROUND((G17*I17),2)</f>
        <v>221.94</v>
      </c>
      <c r="K17" s="358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</row>
    <row r="18" spans="1:32" s="242" customFormat="1" ht="25.5" x14ac:dyDescent="0.2">
      <c r="A18" s="245"/>
      <c r="B18" s="355" t="s">
        <v>315</v>
      </c>
      <c r="C18" s="292" t="s">
        <v>322</v>
      </c>
      <c r="D18" s="236" t="s">
        <v>310</v>
      </c>
      <c r="E18" s="291">
        <v>11342</v>
      </c>
      <c r="F18" s="238" t="s">
        <v>91</v>
      </c>
      <c r="G18" s="293">
        <f>(4.94*2.8)+(7.25*2.8)</f>
        <v>34.131999999999998</v>
      </c>
      <c r="H18" s="239">
        <v>114.02</v>
      </c>
      <c r="I18" s="240">
        <f t="shared" ref="I18" si="4">ROUND((1+I$12)*H18,2)</f>
        <v>143.57</v>
      </c>
      <c r="J18" s="240">
        <f t="shared" ref="J18" si="5">ROUND((G18*I18),2)</f>
        <v>4900.33</v>
      </c>
      <c r="K18" s="358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</row>
    <row r="19" spans="1:32" s="242" customFormat="1" ht="15.75" x14ac:dyDescent="0.2">
      <c r="A19" s="245"/>
      <c r="B19" s="355" t="s">
        <v>316</v>
      </c>
      <c r="C19" s="292" t="s">
        <v>311</v>
      </c>
      <c r="D19" s="236" t="s">
        <v>310</v>
      </c>
      <c r="E19" s="237">
        <v>4066</v>
      </c>
      <c r="F19" s="238" t="s">
        <v>62</v>
      </c>
      <c r="G19" s="293">
        <v>2</v>
      </c>
      <c r="H19" s="239">
        <v>198.75</v>
      </c>
      <c r="I19" s="240">
        <f t="shared" ref="I19" si="6">ROUND((1+I$12)*H19,2)</f>
        <v>250.27</v>
      </c>
      <c r="J19" s="240">
        <f t="shared" ref="J19" si="7">ROUND((G19*I19),2)</f>
        <v>500.54</v>
      </c>
      <c r="K19" s="358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</row>
    <row r="20" spans="1:32" s="242" customFormat="1" ht="15.75" x14ac:dyDescent="0.2">
      <c r="A20" s="245"/>
      <c r="B20" s="357" t="s">
        <v>325</v>
      </c>
      <c r="C20" s="295" t="s">
        <v>324</v>
      </c>
      <c r="D20" s="236"/>
      <c r="E20" s="237"/>
      <c r="F20" s="238"/>
      <c r="G20" s="293"/>
      <c r="H20" s="239"/>
      <c r="I20" s="240"/>
      <c r="J20" s="298">
        <f>SUM(J21)</f>
        <v>136.08000000000001</v>
      </c>
      <c r="K20" s="358">
        <f>J20/$J$26</f>
        <v>2.1400129583383137E-2</v>
      </c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</row>
    <row r="21" spans="1:32" s="242" customFormat="1" ht="38.25" x14ac:dyDescent="0.2">
      <c r="A21" s="245"/>
      <c r="B21" s="355" t="s">
        <v>328</v>
      </c>
      <c r="C21" s="292" t="s">
        <v>312</v>
      </c>
      <c r="D21" s="236" t="s">
        <v>71</v>
      </c>
      <c r="E21" s="237">
        <v>93143</v>
      </c>
      <c r="F21" s="238" t="s">
        <v>62</v>
      </c>
      <c r="G21" s="293">
        <v>1</v>
      </c>
      <c r="H21" s="239">
        <v>108.07</v>
      </c>
      <c r="I21" s="240">
        <f t="shared" ref="I21" si="8">ROUND((1+I$12)*H21,2)</f>
        <v>136.08000000000001</v>
      </c>
      <c r="J21" s="240">
        <f t="shared" ref="J21" si="9">ROUND((G21*I21),2)</f>
        <v>136.08000000000001</v>
      </c>
      <c r="K21" s="358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</row>
    <row r="22" spans="1:32" s="242" customFormat="1" ht="15.75" x14ac:dyDescent="0.2">
      <c r="A22" s="245"/>
      <c r="B22" s="357" t="s">
        <v>327</v>
      </c>
      <c r="C22" s="363" t="s">
        <v>326</v>
      </c>
      <c r="D22" s="236"/>
      <c r="E22" s="237"/>
      <c r="F22" s="238"/>
      <c r="G22" s="293"/>
      <c r="H22" s="239"/>
      <c r="I22" s="240"/>
      <c r="J22" s="298">
        <f>SUM(J23)</f>
        <v>34.4</v>
      </c>
      <c r="K22" s="358">
        <f>J22/$J$26</f>
        <v>5.4097917230186646E-3</v>
      </c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</row>
    <row r="23" spans="1:32" s="242" customFormat="1" ht="25.5" x14ac:dyDescent="0.2">
      <c r="A23" s="245"/>
      <c r="B23" s="355" t="s">
        <v>329</v>
      </c>
      <c r="C23" s="292" t="s">
        <v>317</v>
      </c>
      <c r="D23" s="236" t="s">
        <v>71</v>
      </c>
      <c r="E23" s="237">
        <v>89865</v>
      </c>
      <c r="F23" s="238" t="s">
        <v>64</v>
      </c>
      <c r="G23" s="293">
        <v>3.2</v>
      </c>
      <c r="H23" s="239">
        <v>8.5399999999999991</v>
      </c>
      <c r="I23" s="240">
        <f t="shared" ref="I23" si="10">ROUND((1+I$12)*H23,2)</f>
        <v>10.75</v>
      </c>
      <c r="J23" s="240">
        <f t="shared" ref="J23" si="11">ROUND((G23*I23),2)</f>
        <v>34.4</v>
      </c>
      <c r="K23" s="358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</row>
    <row r="24" spans="1:32" s="242" customFormat="1" ht="15.75" x14ac:dyDescent="0.2">
      <c r="A24" s="245"/>
      <c r="B24" s="357" t="s">
        <v>330</v>
      </c>
      <c r="C24" s="295" t="s">
        <v>3</v>
      </c>
      <c r="D24" s="236"/>
      <c r="E24" s="237"/>
      <c r="F24" s="238"/>
      <c r="G24" s="293"/>
      <c r="H24" s="239"/>
      <c r="I24" s="240"/>
      <c r="J24" s="298">
        <f>SUM(J25)</f>
        <v>171.73</v>
      </c>
      <c r="K24" s="358">
        <f>J24/$J$26</f>
        <v>2.7006498040523116E-2</v>
      </c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</row>
    <row r="25" spans="1:32" s="241" customFormat="1" ht="12.75" x14ac:dyDescent="0.2">
      <c r="A25" s="246"/>
      <c r="B25" s="355" t="s">
        <v>331</v>
      </c>
      <c r="C25" s="292" t="s">
        <v>247</v>
      </c>
      <c r="D25" s="236" t="s">
        <v>71</v>
      </c>
      <c r="E25" s="237">
        <v>9537</v>
      </c>
      <c r="F25" s="238" t="s">
        <v>91</v>
      </c>
      <c r="G25" s="293">
        <f>13+20.07+35.35</f>
        <v>68.42</v>
      </c>
      <c r="H25" s="239">
        <v>1.99</v>
      </c>
      <c r="I25" s="240">
        <f>ROUND((1+I$12)*H25,2)</f>
        <v>2.5099999999999998</v>
      </c>
      <c r="J25" s="240">
        <f>ROUND((G25*I25),2)</f>
        <v>171.73</v>
      </c>
      <c r="K25" s="356"/>
      <c r="L25" s="246"/>
      <c r="M25" s="247"/>
      <c r="N25" s="247"/>
      <c r="O25" s="247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244" customFormat="1" ht="15.75" customHeight="1" x14ac:dyDescent="0.25">
      <c r="A26" s="249"/>
      <c r="B26" s="359"/>
      <c r="C26" s="399" t="s">
        <v>371</v>
      </c>
      <c r="D26" s="400"/>
      <c r="E26" s="400"/>
      <c r="F26" s="400"/>
      <c r="G26" s="400"/>
      <c r="H26" s="400"/>
      <c r="I26" s="401"/>
      <c r="J26" s="235">
        <f>SUM(J14:J25)/2</f>
        <v>6358.8399999999992</v>
      </c>
      <c r="K26" s="354">
        <f>SUM(K14:K25)</f>
        <v>1</v>
      </c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</row>
    <row r="27" spans="1:32" s="222" customFormat="1" ht="20.25" customHeight="1" x14ac:dyDescent="0.25">
      <c r="A27" s="249"/>
      <c r="B27" s="360"/>
      <c r="C27" s="299"/>
      <c r="D27" s="299"/>
      <c r="E27" s="299"/>
      <c r="F27" s="299"/>
      <c r="G27" s="299"/>
      <c r="H27" s="299"/>
      <c r="I27" s="299"/>
      <c r="J27" s="299"/>
      <c r="K27" s="361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</row>
    <row r="28" spans="1:32" ht="20.25" x14ac:dyDescent="0.25">
      <c r="B28" s="439" t="s">
        <v>370</v>
      </c>
      <c r="C28" s="440"/>
      <c r="D28" s="440"/>
      <c r="E28" s="440"/>
      <c r="F28" s="440"/>
      <c r="G28" s="440"/>
      <c r="H28" s="440"/>
      <c r="I28" s="440"/>
      <c r="J28" s="440"/>
      <c r="K28" s="441"/>
    </row>
    <row r="29" spans="1:32" s="242" customFormat="1" ht="15.75" x14ac:dyDescent="0.25">
      <c r="A29" s="245"/>
      <c r="B29" s="357" t="s">
        <v>2</v>
      </c>
      <c r="C29" s="295" t="s">
        <v>323</v>
      </c>
      <c r="D29" s="296"/>
      <c r="E29" s="296"/>
      <c r="F29" s="296"/>
      <c r="G29" s="296"/>
      <c r="H29" s="296"/>
      <c r="I29" s="297"/>
      <c r="J29" s="369">
        <f>SUM(J30:J32)</f>
        <v>9162.5</v>
      </c>
      <c r="K29" s="370">
        <f>J29/$J$48</f>
        <v>0.69593399849306081</v>
      </c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</row>
    <row r="30" spans="1:32" s="242" customFormat="1" ht="25.5" x14ac:dyDescent="0.2">
      <c r="A30" s="245"/>
      <c r="B30" s="355" t="s">
        <v>319</v>
      </c>
      <c r="C30" s="292" t="s">
        <v>322</v>
      </c>
      <c r="D30" s="236" t="s">
        <v>310</v>
      </c>
      <c r="E30" s="291">
        <v>11342</v>
      </c>
      <c r="F30" s="238" t="s">
        <v>91</v>
      </c>
      <c r="G30" s="293">
        <f>VLOOKUP(C30,'Memorial de Cálculo'!C54:N114,12,FALSE)</f>
        <v>54.209999999999994</v>
      </c>
      <c r="H30" s="371">
        <v>114.02</v>
      </c>
      <c r="I30" s="372">
        <f t="shared" ref="I30:I32" si="12">ROUND((1+I$12)*H30,2)</f>
        <v>143.57</v>
      </c>
      <c r="J30" s="372">
        <f t="shared" ref="J30:J32" si="13">ROUND((G30*I30),2)</f>
        <v>7782.93</v>
      </c>
      <c r="K30" s="370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</row>
    <row r="31" spans="1:32" s="242" customFormat="1" ht="15.75" x14ac:dyDescent="0.2">
      <c r="A31" s="245"/>
      <c r="B31" s="355" t="s">
        <v>337</v>
      </c>
      <c r="C31" s="292" t="s">
        <v>311</v>
      </c>
      <c r="D31" s="236" t="s">
        <v>310</v>
      </c>
      <c r="E31" s="237">
        <v>4066</v>
      </c>
      <c r="F31" s="238" t="s">
        <v>62</v>
      </c>
      <c r="G31" s="293">
        <f>VLOOKUP(C31,'Memorial de Cálculo'!C55:N115,12,FALSE)</f>
        <v>4</v>
      </c>
      <c r="H31" s="371">
        <v>198.75</v>
      </c>
      <c r="I31" s="372">
        <f t="shared" si="12"/>
        <v>250.27</v>
      </c>
      <c r="J31" s="372">
        <f t="shared" si="13"/>
        <v>1001.08</v>
      </c>
      <c r="K31" s="370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</row>
    <row r="32" spans="1:32" s="242" customFormat="1" ht="15.75" x14ac:dyDescent="0.2">
      <c r="A32" s="245"/>
      <c r="B32" s="355" t="s">
        <v>338</v>
      </c>
      <c r="C32" s="292" t="s">
        <v>339</v>
      </c>
      <c r="D32" s="236" t="s">
        <v>71</v>
      </c>
      <c r="E32" s="237">
        <v>72117</v>
      </c>
      <c r="F32" s="238" t="s">
        <v>91</v>
      </c>
      <c r="G32" s="293">
        <f>VLOOKUP(C32,'Memorial de Cálculo'!C56:N116,12,FALSE)</f>
        <v>3.5</v>
      </c>
      <c r="H32" s="371">
        <v>85.88</v>
      </c>
      <c r="I32" s="372">
        <f t="shared" si="12"/>
        <v>108.14</v>
      </c>
      <c r="J32" s="372">
        <f t="shared" si="13"/>
        <v>378.49</v>
      </c>
      <c r="K32" s="370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</row>
    <row r="33" spans="1:32" s="242" customFormat="1" ht="15.75" x14ac:dyDescent="0.25">
      <c r="A33" s="245"/>
      <c r="B33" s="357" t="s">
        <v>313</v>
      </c>
      <c r="C33" s="295" t="s">
        <v>324</v>
      </c>
      <c r="D33" s="296"/>
      <c r="E33" s="296"/>
      <c r="F33" s="296"/>
      <c r="G33" s="296"/>
      <c r="H33" s="296"/>
      <c r="I33" s="297"/>
      <c r="J33" s="369">
        <f>SUM(J34:J43)</f>
        <v>3865.08</v>
      </c>
      <c r="K33" s="370">
        <f>J33/$J$48</f>
        <v>0.29357059524098872</v>
      </c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</row>
    <row r="34" spans="1:32" s="242" customFormat="1" ht="38.25" x14ac:dyDescent="0.2">
      <c r="A34" s="245"/>
      <c r="B34" s="355" t="s">
        <v>314</v>
      </c>
      <c r="C34" s="292" t="s">
        <v>340</v>
      </c>
      <c r="D34" s="236" t="s">
        <v>71</v>
      </c>
      <c r="E34" s="237">
        <v>91926</v>
      </c>
      <c r="F34" s="238" t="s">
        <v>64</v>
      </c>
      <c r="G34" s="293">
        <f>VLOOKUP(C34,'[1]Memorial de Cálculo'!C42:N105,12,FALSE)</f>
        <v>162.60000000000002</v>
      </c>
      <c r="H34" s="371">
        <v>2.17</v>
      </c>
      <c r="I34" s="372">
        <f t="shared" ref="I34:I43" si="14">ROUND((1+I$12)*H34,2)</f>
        <v>2.73</v>
      </c>
      <c r="J34" s="372">
        <f t="shared" ref="J34:J43" si="15">ROUND((G34*I34),2)</f>
        <v>443.9</v>
      </c>
      <c r="K34" s="370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</row>
    <row r="35" spans="1:32" s="242" customFormat="1" ht="38.25" x14ac:dyDescent="0.2">
      <c r="A35" s="245"/>
      <c r="B35" s="355" t="s">
        <v>315</v>
      </c>
      <c r="C35" s="292" t="s">
        <v>341</v>
      </c>
      <c r="D35" s="236" t="s">
        <v>71</v>
      </c>
      <c r="E35" s="237">
        <v>91928</v>
      </c>
      <c r="F35" s="238" t="s">
        <v>64</v>
      </c>
      <c r="G35" s="293">
        <f>VLOOKUP(C35,'[1]Memorial de Cálculo'!C43:N106,12,FALSE)</f>
        <v>32.4</v>
      </c>
      <c r="H35" s="371">
        <v>3.46</v>
      </c>
      <c r="I35" s="372">
        <f t="shared" si="14"/>
        <v>4.3600000000000003</v>
      </c>
      <c r="J35" s="372">
        <f t="shared" si="15"/>
        <v>141.26</v>
      </c>
      <c r="K35" s="370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</row>
    <row r="36" spans="1:32" s="242" customFormat="1" ht="25.5" x14ac:dyDescent="0.2">
      <c r="A36" s="245"/>
      <c r="B36" s="355" t="s">
        <v>316</v>
      </c>
      <c r="C36" s="292" t="s">
        <v>342</v>
      </c>
      <c r="D36" s="373" t="s">
        <v>71</v>
      </c>
      <c r="E36" s="373" t="s">
        <v>343</v>
      </c>
      <c r="F36" s="238" t="s">
        <v>62</v>
      </c>
      <c r="G36" s="293">
        <f>VLOOKUP(C36,'[1]Memorial de Cálculo'!C44:N107,12,FALSE)</f>
        <v>2</v>
      </c>
      <c r="H36" s="371">
        <v>11.57</v>
      </c>
      <c r="I36" s="372">
        <f t="shared" si="14"/>
        <v>14.57</v>
      </c>
      <c r="J36" s="372">
        <f t="shared" si="15"/>
        <v>29.14</v>
      </c>
      <c r="K36" s="370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</row>
    <row r="37" spans="1:32" s="242" customFormat="1" ht="25.5" x14ac:dyDescent="0.2">
      <c r="A37" s="245"/>
      <c r="B37" s="355" t="s">
        <v>344</v>
      </c>
      <c r="C37" s="292" t="s">
        <v>345</v>
      </c>
      <c r="D37" s="373" t="s">
        <v>71</v>
      </c>
      <c r="E37" s="373" t="s">
        <v>346</v>
      </c>
      <c r="F37" s="238" t="s">
        <v>62</v>
      </c>
      <c r="G37" s="293">
        <f>VLOOKUP(C37,'[1]Memorial de Cálculo'!C45:N108,12,FALSE)</f>
        <v>2</v>
      </c>
      <c r="H37" s="371">
        <v>75.83</v>
      </c>
      <c r="I37" s="372">
        <f t="shared" si="14"/>
        <v>95.49</v>
      </c>
      <c r="J37" s="372">
        <f t="shared" si="15"/>
        <v>190.98</v>
      </c>
      <c r="K37" s="370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</row>
    <row r="38" spans="1:32" s="242" customFormat="1" ht="38.25" x14ac:dyDescent="0.2">
      <c r="A38" s="245"/>
      <c r="B38" s="355" t="s">
        <v>347</v>
      </c>
      <c r="C38" s="292" t="s">
        <v>348</v>
      </c>
      <c r="D38" s="373" t="s">
        <v>310</v>
      </c>
      <c r="E38" s="373">
        <v>9970</v>
      </c>
      <c r="F38" s="238" t="s">
        <v>62</v>
      </c>
      <c r="G38" s="293">
        <f>VLOOKUP(C38,'[1]Memorial de Cálculo'!C46:N109,12,FALSE)</f>
        <v>1</v>
      </c>
      <c r="H38" s="371">
        <v>218.19</v>
      </c>
      <c r="I38" s="372">
        <f t="shared" si="14"/>
        <v>274.74</v>
      </c>
      <c r="J38" s="372">
        <f t="shared" si="15"/>
        <v>274.74</v>
      </c>
      <c r="K38" s="370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</row>
    <row r="39" spans="1:32" s="242" customFormat="1" ht="51" x14ac:dyDescent="0.2">
      <c r="A39" s="245"/>
      <c r="B39" s="355" t="s">
        <v>349</v>
      </c>
      <c r="C39" s="292" t="s">
        <v>350</v>
      </c>
      <c r="D39" s="373" t="s">
        <v>71</v>
      </c>
      <c r="E39" s="373">
        <v>93137</v>
      </c>
      <c r="F39" s="238" t="s">
        <v>62</v>
      </c>
      <c r="G39" s="293">
        <f>VLOOKUP(C39,'[1]Memorial de Cálculo'!C47:N110,12,FALSE)</f>
        <v>2</v>
      </c>
      <c r="H39" s="371">
        <v>104.67</v>
      </c>
      <c r="I39" s="372">
        <f t="shared" si="14"/>
        <v>131.80000000000001</v>
      </c>
      <c r="J39" s="372">
        <f t="shared" si="15"/>
        <v>263.60000000000002</v>
      </c>
      <c r="K39" s="370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</row>
    <row r="40" spans="1:32" s="242" customFormat="1" ht="38.25" x14ac:dyDescent="0.2">
      <c r="A40" s="245"/>
      <c r="B40" s="355" t="s">
        <v>351</v>
      </c>
      <c r="C40" s="292" t="s">
        <v>352</v>
      </c>
      <c r="D40" s="373" t="s">
        <v>71</v>
      </c>
      <c r="E40" s="373">
        <v>93143</v>
      </c>
      <c r="F40" s="238" t="s">
        <v>62</v>
      </c>
      <c r="G40" s="293">
        <f>VLOOKUP(C40,'[1]Memorial de Cálculo'!C48:N111,12,FALSE)</f>
        <v>2</v>
      </c>
      <c r="H40" s="371">
        <v>108.07</v>
      </c>
      <c r="I40" s="372">
        <f t="shared" si="14"/>
        <v>136.08000000000001</v>
      </c>
      <c r="J40" s="372">
        <f t="shared" si="15"/>
        <v>272.16000000000003</v>
      </c>
      <c r="K40" s="370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</row>
    <row r="41" spans="1:32" s="242" customFormat="1" ht="38.25" x14ac:dyDescent="0.2">
      <c r="A41" s="245"/>
      <c r="B41" s="355" t="s">
        <v>353</v>
      </c>
      <c r="C41" s="292" t="s">
        <v>354</v>
      </c>
      <c r="D41" s="373" t="s">
        <v>71</v>
      </c>
      <c r="E41" s="373">
        <v>93143</v>
      </c>
      <c r="F41" s="238" t="s">
        <v>62</v>
      </c>
      <c r="G41" s="293">
        <f>VLOOKUP(C41,'[1]Memorial de Cálculo'!C49:N112,12,FALSE)</f>
        <v>9</v>
      </c>
      <c r="H41" s="371">
        <v>108.07</v>
      </c>
      <c r="I41" s="372">
        <f t="shared" si="14"/>
        <v>136.08000000000001</v>
      </c>
      <c r="J41" s="372">
        <f t="shared" si="15"/>
        <v>1224.72</v>
      </c>
      <c r="K41" s="370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</row>
    <row r="42" spans="1:32" s="242" customFormat="1" ht="25.5" x14ac:dyDescent="0.2">
      <c r="A42" s="245"/>
      <c r="B42" s="355" t="s">
        <v>355</v>
      </c>
      <c r="C42" s="292" t="s">
        <v>356</v>
      </c>
      <c r="D42" s="373" t="s">
        <v>310</v>
      </c>
      <c r="E42" s="374" t="s">
        <v>357</v>
      </c>
      <c r="F42" s="238" t="s">
        <v>62</v>
      </c>
      <c r="G42" s="293">
        <f>VLOOKUP(C42,'[1]Memorial de Cálculo'!C50:N113,12,FALSE)</f>
        <v>5</v>
      </c>
      <c r="H42" s="371">
        <v>62.31</v>
      </c>
      <c r="I42" s="372">
        <f t="shared" si="14"/>
        <v>78.459999999999994</v>
      </c>
      <c r="J42" s="372">
        <f t="shared" si="15"/>
        <v>392.3</v>
      </c>
      <c r="K42" s="370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</row>
    <row r="43" spans="1:32" s="242" customFormat="1" ht="25.5" x14ac:dyDescent="0.2">
      <c r="A43" s="245"/>
      <c r="B43" s="355" t="s">
        <v>358</v>
      </c>
      <c r="C43" s="292" t="s">
        <v>359</v>
      </c>
      <c r="D43" s="373" t="s">
        <v>310</v>
      </c>
      <c r="E43" s="373">
        <v>526</v>
      </c>
      <c r="F43" s="238" t="s">
        <v>62</v>
      </c>
      <c r="G43" s="293">
        <f>VLOOKUP(C43,'[1]Memorial de Cálculo'!C56:N114,12,FALSE)</f>
        <v>4</v>
      </c>
      <c r="H43" s="371">
        <v>125.53</v>
      </c>
      <c r="I43" s="372">
        <f t="shared" si="14"/>
        <v>158.07</v>
      </c>
      <c r="J43" s="372">
        <f t="shared" si="15"/>
        <v>632.28</v>
      </c>
      <c r="K43" s="370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</row>
    <row r="44" spans="1:32" s="242" customFormat="1" ht="15.75" x14ac:dyDescent="0.25">
      <c r="A44" s="245"/>
      <c r="B44" s="357" t="s">
        <v>325</v>
      </c>
      <c r="C44" s="363" t="s">
        <v>326</v>
      </c>
      <c r="D44" s="375"/>
      <c r="E44" s="375"/>
      <c r="F44" s="375"/>
      <c r="G44" s="293"/>
      <c r="H44" s="375"/>
      <c r="I44" s="375"/>
      <c r="J44" s="369">
        <f>SUM(J45)</f>
        <v>76.16</v>
      </c>
      <c r="K44" s="370">
        <f>J44/$J$48</f>
        <v>5.7847021364509149E-3</v>
      </c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</row>
    <row r="45" spans="1:32" s="242" customFormat="1" ht="25.5" x14ac:dyDescent="0.2">
      <c r="A45" s="245"/>
      <c r="B45" s="355" t="s">
        <v>328</v>
      </c>
      <c r="C45" s="292" t="s">
        <v>317</v>
      </c>
      <c r="D45" s="236" t="s">
        <v>71</v>
      </c>
      <c r="E45" s="237">
        <v>89865</v>
      </c>
      <c r="F45" s="238" t="s">
        <v>64</v>
      </c>
      <c r="G45" s="293">
        <f>VLOOKUP(C45,'[1]Memorial de Cálculo'!C57:N115,12,FALSE)</f>
        <v>7</v>
      </c>
      <c r="H45" s="371">
        <v>8.64</v>
      </c>
      <c r="I45" s="372">
        <f t="shared" ref="I45" si="16">ROUND((1+I$12)*H45,2)</f>
        <v>10.88</v>
      </c>
      <c r="J45" s="372">
        <f t="shared" ref="J45" si="17">ROUND((G45*I45),2)</f>
        <v>76.16</v>
      </c>
      <c r="K45" s="370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</row>
    <row r="46" spans="1:32" s="242" customFormat="1" ht="15.75" x14ac:dyDescent="0.25">
      <c r="A46" s="245"/>
      <c r="B46" s="357" t="s">
        <v>327</v>
      </c>
      <c r="C46" s="295" t="s">
        <v>3</v>
      </c>
      <c r="D46" s="296"/>
      <c r="E46" s="296"/>
      <c r="F46" s="296"/>
      <c r="G46" s="296"/>
      <c r="H46" s="296"/>
      <c r="I46" s="297"/>
      <c r="J46" s="369">
        <f>SUM(J47)</f>
        <v>62.02</v>
      </c>
      <c r="K46" s="370">
        <f>J46/$J$48</f>
        <v>4.7107041294995504E-3</v>
      </c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</row>
    <row r="47" spans="1:32" s="241" customFormat="1" ht="12.75" x14ac:dyDescent="0.2">
      <c r="A47" s="246"/>
      <c r="B47" s="355" t="s">
        <v>329</v>
      </c>
      <c r="C47" s="292" t="s">
        <v>247</v>
      </c>
      <c r="D47" s="236" t="s">
        <v>71</v>
      </c>
      <c r="E47" s="237">
        <v>9537</v>
      </c>
      <c r="F47" s="238" t="s">
        <v>91</v>
      </c>
      <c r="G47" s="293">
        <f>VLOOKUP(C47,'[1]Memorial de Cálculo'!C50:N113,12,FALSE)</f>
        <v>24.71</v>
      </c>
      <c r="H47" s="371">
        <v>1.99</v>
      </c>
      <c r="I47" s="372">
        <f>ROUND((1+I$12)*H47,2)</f>
        <v>2.5099999999999998</v>
      </c>
      <c r="J47" s="372">
        <f>ROUND((G47*I47),2)</f>
        <v>62.02</v>
      </c>
      <c r="K47" s="376"/>
      <c r="L47" s="246"/>
      <c r="M47" s="247"/>
      <c r="N47" s="247"/>
      <c r="O47" s="247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</row>
    <row r="48" spans="1:32" s="244" customFormat="1" ht="15.75" x14ac:dyDescent="0.25">
      <c r="A48" s="249"/>
      <c r="B48" s="359"/>
      <c r="C48" s="399" t="s">
        <v>371</v>
      </c>
      <c r="D48" s="400"/>
      <c r="E48" s="400"/>
      <c r="F48" s="400"/>
      <c r="G48" s="400"/>
      <c r="H48" s="400"/>
      <c r="I48" s="401"/>
      <c r="J48" s="377">
        <f>SUM(J29:J47)/2</f>
        <v>13165.76</v>
      </c>
      <c r="K48" s="378">
        <f>SUM(K29:K47)</f>
        <v>1</v>
      </c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</row>
    <row r="49" spans="1:32" s="244" customFormat="1" ht="15.75" x14ac:dyDescent="0.25">
      <c r="A49" s="249"/>
      <c r="B49" s="359"/>
      <c r="C49" s="379"/>
      <c r="D49" s="380"/>
      <c r="E49" s="380"/>
      <c r="F49" s="380"/>
      <c r="G49" s="380"/>
      <c r="H49" s="380"/>
      <c r="I49" s="381"/>
      <c r="J49" s="377"/>
      <c r="K49" s="378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</row>
    <row r="50" spans="1:32" s="244" customFormat="1" ht="15.75" x14ac:dyDescent="0.25">
      <c r="A50" s="249"/>
      <c r="B50" s="359"/>
      <c r="C50" s="399" t="s">
        <v>336</v>
      </c>
      <c r="D50" s="400"/>
      <c r="E50" s="400"/>
      <c r="F50" s="400"/>
      <c r="G50" s="400"/>
      <c r="H50" s="400"/>
      <c r="I50" s="401"/>
      <c r="J50" s="377">
        <f>SUM(J26+J48)</f>
        <v>19524.599999999999</v>
      </c>
      <c r="K50" s="378">
        <f>SUM(K26+K48)/2</f>
        <v>1</v>
      </c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</row>
    <row r="51" spans="1:32" s="222" customFormat="1" ht="15" customHeight="1" x14ac:dyDescent="0.25">
      <c r="A51" s="249"/>
      <c r="B51" s="362"/>
      <c r="C51" s="299"/>
      <c r="D51" s="299"/>
      <c r="E51" s="299"/>
      <c r="F51" s="299"/>
      <c r="G51" s="299"/>
      <c r="H51" s="299"/>
      <c r="I51" s="299"/>
      <c r="J51" s="299"/>
      <c r="K51" s="361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</row>
    <row r="52" spans="1:32" s="222" customFormat="1" ht="15" customHeight="1" x14ac:dyDescent="0.25">
      <c r="A52" s="249"/>
      <c r="B52" s="402" t="str">
        <f>"IMPORTA O PRESENTE ORÇAMENTO A QUANTIA DE R$ "&amp;FIXED(J50)&amp;"("&amp;[2]!VExtenso(J50)&amp;"), REFERENTE À "&amp;$B$8&amp;", com "&amp;$F$9</f>
        <v>IMPORTA O PRESENTE ORÇAMENTO A QUANTIA DE R$ 19.524,60(dezenove mil, quinhentos e vinte e quatro reais e sessenta centavos), REFERENTE À OBRA: REFORMA DA SALA DE REUNIÃO E DE TOMADA DE CONTAS ESPECIAIS DA SESAPI, com DATA BASE : OUTUBRO/2017 COM DESONERAÇÃO</v>
      </c>
      <c r="C52" s="403"/>
      <c r="D52" s="403"/>
      <c r="E52" s="403"/>
      <c r="F52" s="403"/>
      <c r="G52" s="403"/>
      <c r="H52" s="403"/>
      <c r="I52" s="403"/>
      <c r="J52" s="403"/>
      <c r="K52" s="404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</row>
    <row r="53" spans="1:32" s="222" customFormat="1" ht="15" customHeight="1" x14ac:dyDescent="0.25">
      <c r="A53" s="249"/>
      <c r="B53" s="402"/>
      <c r="C53" s="403"/>
      <c r="D53" s="403"/>
      <c r="E53" s="403"/>
      <c r="F53" s="403"/>
      <c r="G53" s="403"/>
      <c r="H53" s="403"/>
      <c r="I53" s="403"/>
      <c r="J53" s="403"/>
      <c r="K53" s="404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</row>
    <row r="54" spans="1:32" s="222" customFormat="1" ht="15.75" thickBot="1" x14ac:dyDescent="0.3">
      <c r="A54" s="249"/>
      <c r="B54" s="405"/>
      <c r="C54" s="406"/>
      <c r="D54" s="406"/>
      <c r="E54" s="406"/>
      <c r="F54" s="406"/>
      <c r="G54" s="406"/>
      <c r="H54" s="406"/>
      <c r="I54" s="406"/>
      <c r="J54" s="406"/>
      <c r="K54" s="407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</row>
    <row r="55" spans="1:32" s="222" customFormat="1" ht="15" x14ac:dyDescent="0.25">
      <c r="A55" s="249"/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</row>
    <row r="56" spans="1:32" s="222" customFormat="1" ht="15.75" customHeight="1" x14ac:dyDescent="0.25">
      <c r="A56" s="249"/>
      <c r="B56" s="408" t="s">
        <v>334</v>
      </c>
      <c r="C56" s="408"/>
      <c r="D56" s="300"/>
      <c r="E56" s="300"/>
      <c r="F56" s="300"/>
      <c r="G56" s="300"/>
      <c r="H56" s="300"/>
      <c r="I56" s="300"/>
      <c r="J56" s="300"/>
      <c r="K56" s="300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</row>
    <row r="57" spans="1:32" s="222" customFormat="1" ht="15" x14ac:dyDescent="0.25">
      <c r="A57" s="249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</row>
    <row r="58" spans="1:32" s="222" customFormat="1" ht="15.75" x14ac:dyDescent="0.25">
      <c r="A58" s="249"/>
      <c r="B58" s="398" t="s">
        <v>213</v>
      </c>
      <c r="C58" s="398"/>
      <c r="D58" s="398"/>
      <c r="E58" s="398"/>
      <c r="F58" s="398"/>
      <c r="G58" s="398"/>
      <c r="H58" s="398"/>
      <c r="I58" s="398"/>
      <c r="J58" s="398"/>
      <c r="K58" s="398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</row>
    <row r="59" spans="1:32" s="222" customFormat="1" ht="15.75" x14ac:dyDescent="0.25">
      <c r="A59" s="249"/>
      <c r="B59" s="398" t="s">
        <v>214</v>
      </c>
      <c r="C59" s="398"/>
      <c r="D59" s="398" t="s">
        <v>214</v>
      </c>
      <c r="E59" s="398"/>
      <c r="F59" s="398"/>
      <c r="G59" s="398"/>
      <c r="H59" s="398"/>
      <c r="I59" s="398"/>
      <c r="J59" s="398"/>
      <c r="K59" s="398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</row>
  </sheetData>
  <mergeCells count="27">
    <mergeCell ref="F6:K7"/>
    <mergeCell ref="J11:J12"/>
    <mergeCell ref="C26:I26"/>
    <mergeCell ref="B13:K13"/>
    <mergeCell ref="B28:K28"/>
    <mergeCell ref="F2:K3"/>
    <mergeCell ref="F4:K5"/>
    <mergeCell ref="D11:D12"/>
    <mergeCell ref="E11:E12"/>
    <mergeCell ref="H11:H12"/>
    <mergeCell ref="B2:E7"/>
    <mergeCell ref="B11:B12"/>
    <mergeCell ref="B10:K10"/>
    <mergeCell ref="F11:F12"/>
    <mergeCell ref="C11:C12"/>
    <mergeCell ref="K11:K12"/>
    <mergeCell ref="G11:G12"/>
    <mergeCell ref="B8:E8"/>
    <mergeCell ref="B9:E9"/>
    <mergeCell ref="F8:K8"/>
    <mergeCell ref="F9:K9"/>
    <mergeCell ref="B59:K59"/>
    <mergeCell ref="C50:I50"/>
    <mergeCell ref="B58:K58"/>
    <mergeCell ref="C48:I48"/>
    <mergeCell ref="B52:K54"/>
    <mergeCell ref="B56:C56"/>
  </mergeCells>
  <phoneticPr fontId="16" type="noConversion"/>
  <printOptions horizontalCentered="1" gridLines="1"/>
  <pageMargins left="0.43307086614173229" right="0" top="0.70866141732283472" bottom="0.35433070866141736" header="0" footer="0.39370078740157483"/>
  <pageSetup paperSize="9" scale="75" fitToHeight="0" orientation="landscape" horizontalDpi="1200" verticalDpi="1200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showGridLines="0" tabSelected="1" zoomScale="85" zoomScaleNormal="85" zoomScaleSheetLayoutView="40" workbookViewId="0">
      <selection activeCell="C32" sqref="C32"/>
    </sheetView>
  </sheetViews>
  <sheetFormatPr defaultColWidth="11.42578125" defaultRowHeight="12" x14ac:dyDescent="0.2"/>
  <cols>
    <col min="1" max="1" width="4.7109375" style="5" customWidth="1"/>
    <col min="2" max="2" width="8.140625" style="12" customWidth="1"/>
    <col min="3" max="3" width="73.85546875" style="5" customWidth="1"/>
    <col min="4" max="4" width="13.7109375" style="4" bestFit="1" customWidth="1"/>
    <col min="5" max="5" width="20" style="5" bestFit="1" customWidth="1"/>
    <col min="6" max="6" width="7.140625" style="4" bestFit="1" customWidth="1"/>
    <col min="7" max="8" width="17.5703125" style="4" bestFit="1" customWidth="1"/>
    <col min="9" max="9" width="10.7109375" style="4" customWidth="1"/>
    <col min="10" max="10" width="14.140625" style="4" customWidth="1"/>
    <col min="11" max="11" width="13" style="5" bestFit="1" customWidth="1"/>
    <col min="12" max="16384" width="11.42578125" style="5"/>
  </cols>
  <sheetData>
    <row r="1" spans="2:12" ht="18" customHeight="1" thickBot="1" x14ac:dyDescent="0.25">
      <c r="B1" s="323"/>
      <c r="C1" s="1"/>
      <c r="D1" s="1"/>
      <c r="E1" s="2"/>
      <c r="F1" s="3"/>
      <c r="G1" s="3"/>
      <c r="H1" s="3"/>
      <c r="I1" s="1"/>
      <c r="J1" s="1"/>
    </row>
    <row r="2" spans="2:12" ht="18" customHeight="1" x14ac:dyDescent="0.2">
      <c r="B2" s="324"/>
      <c r="C2" s="220"/>
      <c r="D2" s="449" t="str">
        <f>'Planila Orçamentária'!F2</f>
        <v>GABINETE DO SECRETÁRIO</v>
      </c>
      <c r="E2" s="450"/>
      <c r="F2" s="450"/>
      <c r="G2" s="450"/>
      <c r="H2" s="451"/>
      <c r="I2" s="95"/>
      <c r="J2" s="95"/>
    </row>
    <row r="3" spans="2:12" ht="18" customHeight="1" x14ac:dyDescent="0.2">
      <c r="B3" s="325"/>
      <c r="C3" s="98"/>
      <c r="D3" s="452"/>
      <c r="E3" s="453"/>
      <c r="F3" s="453"/>
      <c r="G3" s="453"/>
      <c r="H3" s="454"/>
      <c r="I3" s="95"/>
      <c r="J3" s="95"/>
    </row>
    <row r="4" spans="2:12" ht="18" customHeight="1" x14ac:dyDescent="0.2">
      <c r="B4" s="325"/>
      <c r="C4" s="98"/>
      <c r="D4" s="455" t="str">
        <f>'Planila Orçamentária'!F4</f>
        <v>NÚCLEO DE INFRA-ESTRUTURA EM SAÚDE - NIS</v>
      </c>
      <c r="E4" s="456"/>
      <c r="F4" s="456"/>
      <c r="G4" s="456"/>
      <c r="H4" s="457"/>
      <c r="I4" s="95"/>
      <c r="J4" s="95"/>
    </row>
    <row r="5" spans="2:12" ht="18" customHeight="1" x14ac:dyDescent="0.2">
      <c r="B5" s="325"/>
      <c r="C5" s="98"/>
      <c r="D5" s="455"/>
      <c r="E5" s="456"/>
      <c r="F5" s="456"/>
      <c r="G5" s="456"/>
      <c r="H5" s="457"/>
      <c r="I5" s="95"/>
      <c r="J5" s="95"/>
    </row>
    <row r="6" spans="2:12" ht="18" customHeight="1" x14ac:dyDescent="0.2">
      <c r="B6" s="325"/>
      <c r="C6" s="98"/>
      <c r="D6" s="458" t="str">
        <f>'Planila Orçamentária'!F6</f>
        <v>COORDENAÇÃO DE INFRA-ESTRUTURA EM SAÚDE</v>
      </c>
      <c r="E6" s="459"/>
      <c r="F6" s="459"/>
      <c r="G6" s="459"/>
      <c r="H6" s="460"/>
      <c r="I6" s="96"/>
      <c r="J6" s="96"/>
    </row>
    <row r="7" spans="2:12" ht="18" customHeight="1" x14ac:dyDescent="0.2">
      <c r="B7" s="326"/>
      <c r="C7" s="99"/>
      <c r="D7" s="461"/>
      <c r="E7" s="462"/>
      <c r="F7" s="462"/>
      <c r="G7" s="462"/>
      <c r="H7" s="463"/>
      <c r="I7" s="96"/>
      <c r="J7" s="96"/>
    </row>
    <row r="8" spans="2:12" s="309" customFormat="1" ht="27" customHeight="1" x14ac:dyDescent="0.2">
      <c r="B8" s="464" t="str">
        <f>'Planila Orçamentária'!B8</f>
        <v>OBRA: REFORMA DA SALA DE REUNIÃO E DE TOMADA DE CONTAS ESPECIAIS DA SESAPI</v>
      </c>
      <c r="C8" s="465"/>
      <c r="D8" s="466" t="str">
        <f>'Planila Orçamentária'!F8</f>
        <v>MUNICÍPIO: TERESINA-PI</v>
      </c>
      <c r="E8" s="465"/>
      <c r="F8" s="465"/>
      <c r="G8" s="465"/>
      <c r="H8" s="467"/>
      <c r="I8" s="308"/>
      <c r="J8" s="308"/>
    </row>
    <row r="9" spans="2:12" s="309" customFormat="1" ht="15.75" x14ac:dyDescent="0.2">
      <c r="B9" s="464" t="str">
        <f>'Planila Orçamentária'!B9</f>
        <v>ENDEREÇO: CENTRO ADMINISTRATIVO</v>
      </c>
      <c r="C9" s="465"/>
      <c r="D9" s="466" t="str">
        <f>'Planila Orçamentária'!F9</f>
        <v>DATA BASE : OUTUBRO/2017 COM DESONERAÇÃO</v>
      </c>
      <c r="E9" s="465"/>
      <c r="F9" s="465"/>
      <c r="G9" s="465"/>
      <c r="H9" s="467"/>
      <c r="I9" s="308"/>
      <c r="J9" s="308"/>
    </row>
    <row r="10" spans="2:12" s="309" customFormat="1" ht="15.75" x14ac:dyDescent="0.2">
      <c r="B10" s="442" t="s">
        <v>7</v>
      </c>
      <c r="C10" s="443"/>
      <c r="D10" s="443"/>
      <c r="E10" s="443"/>
      <c r="F10" s="443"/>
      <c r="G10" s="443"/>
      <c r="H10" s="444"/>
      <c r="I10" s="308"/>
      <c r="J10" s="308"/>
    </row>
    <row r="11" spans="2:12" s="311" customFormat="1" ht="15.75" x14ac:dyDescent="0.2">
      <c r="B11" s="445" t="s">
        <v>5</v>
      </c>
      <c r="C11" s="446" t="s">
        <v>6</v>
      </c>
      <c r="D11" s="446" t="s">
        <v>8</v>
      </c>
      <c r="E11" s="446" t="s">
        <v>9</v>
      </c>
      <c r="F11" s="446" t="s">
        <v>318</v>
      </c>
      <c r="G11" s="446"/>
      <c r="H11" s="448" t="s">
        <v>4</v>
      </c>
      <c r="I11" s="310"/>
      <c r="J11" s="310"/>
    </row>
    <row r="12" spans="2:12" s="311" customFormat="1" ht="15.75" x14ac:dyDescent="0.2">
      <c r="B12" s="445"/>
      <c r="C12" s="446"/>
      <c r="D12" s="446"/>
      <c r="E12" s="446"/>
      <c r="F12" s="312" t="s">
        <v>10</v>
      </c>
      <c r="G12" s="312" t="s">
        <v>11</v>
      </c>
      <c r="H12" s="448"/>
      <c r="I12" s="310"/>
      <c r="J12" s="310"/>
    </row>
    <row r="13" spans="2:12" s="311" customFormat="1" ht="15.75" x14ac:dyDescent="0.2">
      <c r="B13" s="442" t="str">
        <f>'Planila Orçamentária'!B13:K13</f>
        <v>REFORMA DA SALA DE REUNIÃO DA SESAPI</v>
      </c>
      <c r="C13" s="443"/>
      <c r="D13" s="443"/>
      <c r="E13" s="443"/>
      <c r="F13" s="443"/>
      <c r="G13" s="443"/>
      <c r="H13" s="444"/>
      <c r="I13" s="310"/>
      <c r="J13" s="310"/>
    </row>
    <row r="14" spans="2:12" s="309" customFormat="1" ht="15.75" x14ac:dyDescent="0.25">
      <c r="B14" s="327" t="str">
        <f>'Planila Orçamentária'!B14</f>
        <v>1.00</v>
      </c>
      <c r="C14" s="313" t="str">
        <f>'Planila Orçamentária'!C14</f>
        <v>SERVIÇOSA PRELIMINARES</v>
      </c>
      <c r="D14" s="314">
        <f>E14/E$20</f>
        <v>6.1932679545325893E-2</v>
      </c>
      <c r="E14" s="315">
        <f>'Planila Orçamentária'!J14</f>
        <v>393.82</v>
      </c>
      <c r="F14" s="316">
        <v>1</v>
      </c>
      <c r="G14" s="315">
        <f t="shared" ref="G14:G18" si="0">F14*E14</f>
        <v>393.82</v>
      </c>
      <c r="H14" s="351">
        <f>(G14)</f>
        <v>393.82</v>
      </c>
      <c r="I14" s="310"/>
      <c r="J14" s="310"/>
      <c r="K14" s="317"/>
      <c r="L14" s="318"/>
    </row>
    <row r="15" spans="2:12" s="321" customFormat="1" ht="15.75" x14ac:dyDescent="0.25">
      <c r="B15" s="327" t="str">
        <f>'Planila Orçamentária'!B16</f>
        <v>2.00</v>
      </c>
      <c r="C15" s="313" t="str">
        <f>'Planila Orçamentária'!C16</f>
        <v>DIVISÓRIAS</v>
      </c>
      <c r="D15" s="314">
        <f t="shared" ref="D15:D18" si="1">E15/E$20</f>
        <v>0.8842509011077494</v>
      </c>
      <c r="E15" s="315">
        <f>'Planila Orçamentária'!J16</f>
        <v>5622.8099999999995</v>
      </c>
      <c r="F15" s="316">
        <v>1</v>
      </c>
      <c r="G15" s="315">
        <f t="shared" si="0"/>
        <v>5622.8099999999995</v>
      </c>
      <c r="H15" s="351">
        <f>(G15)</f>
        <v>5622.8099999999995</v>
      </c>
      <c r="I15" s="319"/>
      <c r="J15" s="319"/>
      <c r="K15" s="320"/>
      <c r="L15" s="320"/>
    </row>
    <row r="16" spans="2:12" s="309" customFormat="1" ht="15.75" x14ac:dyDescent="0.25">
      <c r="B16" s="327" t="str">
        <f>'Planila Orçamentária'!B20</f>
        <v>3.00</v>
      </c>
      <c r="C16" s="313" t="str">
        <f>'Planila Orçamentária'!C20</f>
        <v>INSTALAÇÕES ELÉTRICAS E LÓGICA</v>
      </c>
      <c r="D16" s="314">
        <f t="shared" si="1"/>
        <v>2.1400129583383141E-2</v>
      </c>
      <c r="E16" s="315">
        <f>'Planila Orçamentária'!J20</f>
        <v>136.08000000000001</v>
      </c>
      <c r="F16" s="316">
        <v>1</v>
      </c>
      <c r="G16" s="315">
        <f t="shared" si="0"/>
        <v>136.08000000000001</v>
      </c>
      <c r="H16" s="351">
        <f t="shared" ref="H16:H18" si="2">(G16)</f>
        <v>136.08000000000001</v>
      </c>
      <c r="I16" s="310"/>
      <c r="J16" s="310"/>
      <c r="K16" s="318"/>
      <c r="L16" s="318"/>
    </row>
    <row r="17" spans="2:12" s="309" customFormat="1" ht="15.75" x14ac:dyDescent="0.25">
      <c r="B17" s="327" t="str">
        <f>'Planila Orçamentária'!B22</f>
        <v>4.00</v>
      </c>
      <c r="C17" s="313" t="str">
        <f>'Planila Orçamentária'!C22</f>
        <v>INSTALAÇÕES HIDRAÚLICAS</v>
      </c>
      <c r="D17" s="314">
        <f t="shared" si="1"/>
        <v>5.4097917230186646E-3</v>
      </c>
      <c r="E17" s="315">
        <f>'Planila Orçamentária'!J22</f>
        <v>34.4</v>
      </c>
      <c r="F17" s="316">
        <v>1</v>
      </c>
      <c r="G17" s="315">
        <f t="shared" si="0"/>
        <v>34.4</v>
      </c>
      <c r="H17" s="351">
        <f t="shared" si="2"/>
        <v>34.4</v>
      </c>
      <c r="I17" s="310"/>
      <c r="J17" s="310"/>
      <c r="K17" s="318"/>
      <c r="L17" s="318"/>
    </row>
    <row r="18" spans="2:12" s="309" customFormat="1" ht="15.75" x14ac:dyDescent="0.25">
      <c r="B18" s="327" t="str">
        <f>'Planila Orçamentária'!B24</f>
        <v>5.00</v>
      </c>
      <c r="C18" s="313" t="str">
        <f>'Planila Orçamentária'!C24</f>
        <v>DIVERSOS</v>
      </c>
      <c r="D18" s="314">
        <f t="shared" si="1"/>
        <v>2.700649804052312E-2</v>
      </c>
      <c r="E18" s="315">
        <f>'Planila Orçamentária'!J24</f>
        <v>171.73</v>
      </c>
      <c r="F18" s="316">
        <v>1</v>
      </c>
      <c r="G18" s="315">
        <f t="shared" si="0"/>
        <v>171.73</v>
      </c>
      <c r="H18" s="351">
        <f t="shared" si="2"/>
        <v>171.73</v>
      </c>
      <c r="I18" s="310"/>
      <c r="J18" s="310"/>
      <c r="K18" s="318"/>
      <c r="L18" s="318"/>
    </row>
    <row r="19" spans="2:12" s="309" customFormat="1" ht="6.75" customHeight="1" x14ac:dyDescent="0.25">
      <c r="B19" s="385"/>
      <c r="C19" s="386"/>
      <c r="D19" s="387"/>
      <c r="E19" s="388"/>
      <c r="F19" s="389"/>
      <c r="G19" s="388"/>
      <c r="H19" s="390"/>
      <c r="I19" s="310"/>
      <c r="J19" s="310"/>
      <c r="K19" s="318"/>
      <c r="L19" s="318"/>
    </row>
    <row r="20" spans="2:12" s="309" customFormat="1" ht="15.75" x14ac:dyDescent="0.25">
      <c r="B20" s="385"/>
      <c r="C20" s="386" t="str">
        <f>'Planila Orçamentária'!C26</f>
        <v>TOTAL DA REFORMA</v>
      </c>
      <c r="D20" s="387">
        <f>SUM(D14:D18)</f>
        <v>1.0000000000000002</v>
      </c>
      <c r="E20" s="391">
        <f>SUM(E14:E18)</f>
        <v>6358.8399999999983</v>
      </c>
      <c r="F20" s="391"/>
      <c r="G20" s="391">
        <f>SUM(G14:G18)</f>
        <v>6358.8399999999983</v>
      </c>
      <c r="H20" s="392">
        <f>(G20)</f>
        <v>6358.8399999999983</v>
      </c>
      <c r="I20" s="310"/>
      <c r="J20" s="310"/>
      <c r="K20" s="318"/>
      <c r="L20" s="318"/>
    </row>
    <row r="21" spans="2:12" s="309" customFormat="1" ht="6.75" customHeight="1" x14ac:dyDescent="0.25">
      <c r="B21" s="327"/>
      <c r="C21" s="313"/>
      <c r="D21" s="314"/>
      <c r="E21" s="315"/>
      <c r="F21" s="316"/>
      <c r="G21" s="315"/>
      <c r="H21" s="351"/>
      <c r="I21" s="310"/>
      <c r="J21" s="310"/>
      <c r="K21" s="318"/>
      <c r="L21" s="318"/>
    </row>
    <row r="22" spans="2:12" s="311" customFormat="1" ht="15.75" x14ac:dyDescent="0.2">
      <c r="B22" s="442" t="str">
        <f>'Planila Orçamentária'!B28:K28</f>
        <v>REFORMA DA SALA DE TOMADA DE CONTAS ESPECIAIS DA SESAPI</v>
      </c>
      <c r="C22" s="443"/>
      <c r="D22" s="443"/>
      <c r="E22" s="443"/>
      <c r="F22" s="443"/>
      <c r="G22" s="443"/>
      <c r="H22" s="444"/>
      <c r="I22" s="310"/>
      <c r="J22" s="310"/>
    </row>
    <row r="23" spans="2:12" s="309" customFormat="1" ht="15.75" x14ac:dyDescent="0.25">
      <c r="B23" s="327" t="str">
        <f>'Planila Orçamentária'!B29</f>
        <v>1.00</v>
      </c>
      <c r="C23" s="313" t="str">
        <f>'Planila Orçamentária'!C29</f>
        <v>DIVISÓRIAS</v>
      </c>
      <c r="D23" s="314">
        <f>E23/E$28</f>
        <v>0.69593399849306081</v>
      </c>
      <c r="E23" s="315">
        <f>'Planila Orçamentária'!J29</f>
        <v>9162.5</v>
      </c>
      <c r="F23" s="316">
        <v>1</v>
      </c>
      <c r="G23" s="315">
        <f t="shared" ref="G23:G26" si="3">F23*E23</f>
        <v>9162.5</v>
      </c>
      <c r="H23" s="351">
        <f>(G23)</f>
        <v>9162.5</v>
      </c>
      <c r="I23" s="310"/>
      <c r="J23" s="310"/>
      <c r="K23" s="318"/>
      <c r="L23" s="318"/>
    </row>
    <row r="24" spans="2:12" s="309" customFormat="1" ht="15.75" x14ac:dyDescent="0.25">
      <c r="B24" s="327" t="str">
        <f>'Planila Orçamentária'!B33</f>
        <v>2.00</v>
      </c>
      <c r="C24" s="313" t="str">
        <f>'Planila Orçamentária'!C33</f>
        <v>INSTALAÇÕES ELÉTRICAS E LÓGICA</v>
      </c>
      <c r="D24" s="314">
        <f>E24/E$28</f>
        <v>0.29357059524098872</v>
      </c>
      <c r="E24" s="315">
        <f>'Planila Orçamentária'!J33</f>
        <v>3865.08</v>
      </c>
      <c r="F24" s="316">
        <v>1</v>
      </c>
      <c r="G24" s="315">
        <f t="shared" si="3"/>
        <v>3865.08</v>
      </c>
      <c r="H24" s="351">
        <f>(G24)</f>
        <v>3865.08</v>
      </c>
      <c r="I24" s="310"/>
      <c r="J24" s="310"/>
      <c r="K24" s="318"/>
      <c r="L24" s="318"/>
    </row>
    <row r="25" spans="2:12" s="309" customFormat="1" ht="15.75" x14ac:dyDescent="0.25">
      <c r="B25" s="327" t="str">
        <f>'Planila Orçamentária'!B44</f>
        <v>3.00</v>
      </c>
      <c r="C25" s="313" t="str">
        <f>'Planila Orçamentária'!C44</f>
        <v>INSTALAÇÕES HIDRAÚLICAS</v>
      </c>
      <c r="D25" s="314">
        <f>E25/E$28</f>
        <v>5.7847021364509149E-3</v>
      </c>
      <c r="E25" s="315">
        <f>'Planila Orçamentária'!J44</f>
        <v>76.16</v>
      </c>
      <c r="F25" s="316">
        <v>1</v>
      </c>
      <c r="G25" s="315">
        <f t="shared" si="3"/>
        <v>76.16</v>
      </c>
      <c r="H25" s="351">
        <f t="shared" ref="H25:H26" si="4">(G25)</f>
        <v>76.16</v>
      </c>
      <c r="I25" s="310"/>
      <c r="J25" s="310"/>
      <c r="K25" s="318"/>
      <c r="L25" s="318"/>
    </row>
    <row r="26" spans="2:12" s="309" customFormat="1" ht="15.75" x14ac:dyDescent="0.25">
      <c r="B26" s="327" t="str">
        <f>'Planila Orçamentária'!B46</f>
        <v>4.00</v>
      </c>
      <c r="C26" s="313" t="str">
        <f>'Planila Orçamentária'!C46</f>
        <v>DIVERSOS</v>
      </c>
      <c r="D26" s="314">
        <f>E26/E$28</f>
        <v>4.7107041294995504E-3</v>
      </c>
      <c r="E26" s="315">
        <f>'Planila Orçamentária'!J46</f>
        <v>62.02</v>
      </c>
      <c r="F26" s="316">
        <v>1</v>
      </c>
      <c r="G26" s="315">
        <f t="shared" si="3"/>
        <v>62.02</v>
      </c>
      <c r="H26" s="351">
        <f t="shared" si="4"/>
        <v>62.02</v>
      </c>
      <c r="I26" s="310"/>
      <c r="J26" s="310"/>
      <c r="K26" s="318"/>
      <c r="L26" s="318"/>
    </row>
    <row r="27" spans="2:12" s="309" customFormat="1" ht="6.75" customHeight="1" x14ac:dyDescent="0.25">
      <c r="B27" s="385"/>
      <c r="C27" s="386"/>
      <c r="D27" s="387"/>
      <c r="E27" s="388"/>
      <c r="F27" s="389"/>
      <c r="G27" s="388"/>
      <c r="H27" s="390"/>
      <c r="I27" s="310"/>
      <c r="J27" s="310"/>
      <c r="K27" s="318"/>
      <c r="L27" s="318"/>
    </row>
    <row r="28" spans="2:12" s="309" customFormat="1" ht="15.75" x14ac:dyDescent="0.25">
      <c r="B28" s="327"/>
      <c r="C28" s="313" t="str">
        <f>'Planila Orçamentária'!C48</f>
        <v>TOTAL DA REFORMA</v>
      </c>
      <c r="D28" s="314">
        <f>SUM(D23:D27)</f>
        <v>1</v>
      </c>
      <c r="E28" s="393">
        <f>SUM(E23:E27)</f>
        <v>13165.76</v>
      </c>
      <c r="F28" s="393"/>
      <c r="G28" s="393">
        <f>SUM(G23:G27)</f>
        <v>13165.76</v>
      </c>
      <c r="H28" s="394">
        <f>(G28)</f>
        <v>13165.76</v>
      </c>
      <c r="I28" s="310"/>
      <c r="J28" s="310"/>
      <c r="K28" s="318"/>
      <c r="L28" s="318"/>
    </row>
    <row r="29" spans="2:12" s="309" customFormat="1" ht="6.75" customHeight="1" x14ac:dyDescent="0.25">
      <c r="B29" s="327"/>
      <c r="C29" s="313"/>
      <c r="D29" s="314"/>
      <c r="E29" s="315"/>
      <c r="F29" s="316"/>
      <c r="G29" s="315"/>
      <c r="H29" s="351"/>
      <c r="I29" s="310"/>
      <c r="J29" s="310"/>
      <c r="K29" s="318"/>
      <c r="L29" s="318"/>
    </row>
    <row r="30" spans="2:12" s="226" customFormat="1" ht="18" customHeight="1" thickBot="1" x14ac:dyDescent="0.3">
      <c r="B30" s="395"/>
      <c r="C30" s="396" t="str">
        <f>'Planila Orçamentária'!C50</f>
        <v>CUSTO DA REFORMA COM BDI ( ADOTADO 25,92%)</v>
      </c>
      <c r="D30" s="322">
        <f>SUM(D20+D28)/2</f>
        <v>1</v>
      </c>
      <c r="E30" s="397">
        <f>SUM(E14:E29)/2</f>
        <v>19524.599999999999</v>
      </c>
      <c r="F30" s="396"/>
      <c r="G30" s="397">
        <f>SUM(G14:G29)/2</f>
        <v>19524.599999999999</v>
      </c>
      <c r="H30" s="352">
        <f>(G30)</f>
        <v>19524.599999999999</v>
      </c>
    </row>
    <row r="31" spans="2:12" s="226" customFormat="1" ht="18" customHeight="1" x14ac:dyDescent="0.25">
      <c r="B31" s="302"/>
      <c r="C31" s="227"/>
      <c r="D31" s="227"/>
      <c r="E31" s="227"/>
      <c r="F31" s="227"/>
      <c r="G31" s="227"/>
    </row>
    <row r="32" spans="2:12" s="226" customFormat="1" ht="29.25" customHeight="1" x14ac:dyDescent="0.25">
      <c r="C32" s="329" t="str">
        <f>'Planila Orçamentária'!B56</f>
        <v>Teresina (PI),  06 de dezembro de 2017</v>
      </c>
      <c r="D32" s="227"/>
      <c r="E32" s="227"/>
      <c r="F32" s="227"/>
      <c r="G32" s="227"/>
    </row>
    <row r="33" spans="2:18" s="226" customFormat="1" ht="34.5" customHeight="1" x14ac:dyDescent="0.25">
      <c r="B33" s="302"/>
      <c r="C33" s="227"/>
      <c r="D33" s="447"/>
      <c r="E33" s="447"/>
      <c r="F33" s="447"/>
      <c r="G33" s="447"/>
    </row>
    <row r="34" spans="2:18" s="226" customFormat="1" ht="28.5" customHeight="1" x14ac:dyDescent="0.25">
      <c r="B34" s="328"/>
      <c r="C34" s="227"/>
      <c r="D34" s="447"/>
      <c r="E34" s="447"/>
      <c r="F34" s="447"/>
      <c r="G34" s="447"/>
    </row>
    <row r="35" spans="2:18" s="226" customFormat="1" ht="23.25" x14ac:dyDescent="0.25">
      <c r="B35" s="328"/>
      <c r="C35" s="227"/>
      <c r="D35" s="447"/>
      <c r="E35" s="447"/>
      <c r="F35" s="447"/>
      <c r="G35" s="447"/>
    </row>
    <row r="36" spans="2:18" s="226" customFormat="1" ht="23.25" x14ac:dyDescent="0.25">
      <c r="B36" s="328"/>
      <c r="C36" s="227"/>
      <c r="D36" s="447"/>
      <c r="E36" s="447"/>
      <c r="F36" s="447"/>
      <c r="G36" s="447"/>
    </row>
    <row r="37" spans="2:18" s="226" customFormat="1" ht="15.75" x14ac:dyDescent="0.25">
      <c r="B37" s="328"/>
      <c r="C37" s="227"/>
      <c r="D37" s="227"/>
      <c r="E37" s="227"/>
      <c r="F37" s="227"/>
      <c r="G37" s="227"/>
    </row>
    <row r="38" spans="2:18" s="19" customFormat="1" ht="15.75" x14ac:dyDescent="0.25">
      <c r="B38" s="328"/>
      <c r="C38" s="227"/>
      <c r="D38" s="225"/>
      <c r="F38" s="225"/>
      <c r="G38" s="225"/>
      <c r="H38" s="225"/>
      <c r="I38" s="228"/>
      <c r="J38" s="228"/>
      <c r="K38" s="20"/>
      <c r="L38" s="20"/>
      <c r="M38" s="20"/>
      <c r="N38" s="20"/>
      <c r="O38" s="20"/>
      <c r="P38" s="20"/>
      <c r="Q38" s="20"/>
      <c r="R38" s="20"/>
    </row>
    <row r="39" spans="2:18" ht="13.5" x14ac:dyDescent="0.25">
      <c r="B39" s="10"/>
      <c r="C39" s="11"/>
      <c r="E39" s="12"/>
      <c r="I39" s="7"/>
      <c r="J39" s="7"/>
      <c r="K39" s="6"/>
      <c r="L39" s="6"/>
      <c r="M39" s="6"/>
      <c r="N39" s="6"/>
      <c r="O39" s="6"/>
      <c r="P39" s="6"/>
      <c r="Q39" s="6"/>
      <c r="R39" s="6"/>
    </row>
    <row r="40" spans="2:18" ht="13.5" x14ac:dyDescent="0.25">
      <c r="C40" s="13"/>
      <c r="E40" s="12"/>
      <c r="I40" s="7"/>
      <c r="J40" s="7"/>
      <c r="K40" s="6"/>
      <c r="L40" s="6"/>
      <c r="M40" s="6"/>
      <c r="N40" s="6"/>
      <c r="O40" s="6"/>
      <c r="P40" s="6"/>
      <c r="Q40" s="6"/>
      <c r="R40" s="6"/>
    </row>
    <row r="41" spans="2:18" ht="13.5" x14ac:dyDescent="0.25">
      <c r="C41" s="13"/>
      <c r="E41" s="12"/>
      <c r="I41" s="7"/>
      <c r="J41" s="7"/>
      <c r="K41" s="6"/>
      <c r="L41" s="6"/>
      <c r="M41" s="6"/>
      <c r="N41" s="6"/>
      <c r="O41" s="6"/>
      <c r="P41" s="6"/>
      <c r="Q41" s="6"/>
      <c r="R41" s="6"/>
    </row>
    <row r="42" spans="2:18" ht="13.5" x14ac:dyDescent="0.25">
      <c r="C42" s="13"/>
      <c r="E42" s="12"/>
      <c r="I42" s="7"/>
      <c r="J42" s="7"/>
      <c r="K42" s="6"/>
      <c r="L42" s="6"/>
      <c r="M42" s="6"/>
      <c r="N42" s="6"/>
      <c r="O42" s="6"/>
      <c r="P42" s="6"/>
      <c r="Q42" s="6"/>
      <c r="R42" s="6"/>
    </row>
    <row r="43" spans="2:18" ht="13.5" x14ac:dyDescent="0.25">
      <c r="C43" s="13"/>
      <c r="E43" s="12"/>
      <c r="I43" s="7"/>
      <c r="J43" s="7"/>
      <c r="K43" s="6"/>
      <c r="L43" s="6"/>
      <c r="M43" s="6"/>
      <c r="N43" s="6"/>
      <c r="O43" s="6"/>
      <c r="P43" s="6"/>
      <c r="Q43" s="6"/>
      <c r="R43" s="6"/>
    </row>
    <row r="44" spans="2:18" ht="13.5" x14ac:dyDescent="0.25">
      <c r="C44" s="13"/>
      <c r="E44" s="12"/>
      <c r="I44" s="7"/>
      <c r="J44" s="7"/>
      <c r="K44" s="6"/>
      <c r="L44" s="6"/>
      <c r="M44" s="6"/>
      <c r="N44" s="6"/>
      <c r="O44" s="6"/>
      <c r="P44" s="6"/>
      <c r="Q44" s="6"/>
      <c r="R44" s="6"/>
    </row>
    <row r="45" spans="2:18" ht="13.5" x14ac:dyDescent="0.25">
      <c r="C45" s="13"/>
      <c r="E45" s="12"/>
      <c r="I45" s="7"/>
      <c r="J45" s="7"/>
      <c r="K45" s="6"/>
      <c r="L45" s="6"/>
      <c r="M45" s="6"/>
      <c r="N45" s="6"/>
      <c r="O45" s="6"/>
      <c r="P45" s="6"/>
      <c r="Q45" s="6"/>
      <c r="R45" s="6"/>
    </row>
    <row r="46" spans="2:18" ht="15" x14ac:dyDescent="0.25">
      <c r="C46" s="222"/>
      <c r="E46" s="12"/>
      <c r="I46" s="7"/>
      <c r="J46" s="7"/>
      <c r="K46" s="6"/>
      <c r="L46" s="6"/>
      <c r="M46" s="6"/>
      <c r="N46" s="6"/>
      <c r="O46" s="6"/>
      <c r="P46" s="6"/>
      <c r="Q46" s="6"/>
      <c r="R46" s="6"/>
    </row>
    <row r="47" spans="2:18" ht="15" x14ac:dyDescent="0.25">
      <c r="C47" s="222"/>
      <c r="E47" s="12"/>
      <c r="I47" s="7"/>
      <c r="J47" s="7"/>
      <c r="K47" s="6"/>
      <c r="L47" s="6"/>
      <c r="M47" s="6"/>
      <c r="N47" s="6"/>
      <c r="O47" s="6"/>
      <c r="P47" s="6"/>
      <c r="Q47" s="6"/>
      <c r="R47" s="6"/>
    </row>
    <row r="48" spans="2:18" ht="13.5" x14ac:dyDescent="0.25">
      <c r="C48" s="13"/>
      <c r="E48" s="12"/>
      <c r="I48" s="7"/>
      <c r="J48" s="7"/>
      <c r="K48" s="6"/>
      <c r="L48" s="6"/>
      <c r="M48" s="6"/>
      <c r="N48" s="6"/>
      <c r="O48" s="6"/>
      <c r="P48" s="6"/>
      <c r="Q48" s="6"/>
      <c r="R48" s="6"/>
    </row>
    <row r="49" spans="2:18" ht="13.5" x14ac:dyDescent="0.25">
      <c r="C49" s="13"/>
      <c r="E49" s="12"/>
      <c r="I49" s="7"/>
      <c r="J49" s="7"/>
      <c r="K49" s="6"/>
      <c r="L49" s="6"/>
      <c r="M49" s="6"/>
      <c r="N49" s="6"/>
      <c r="O49" s="6"/>
      <c r="P49" s="6"/>
      <c r="Q49" s="6"/>
      <c r="R49" s="6"/>
    </row>
    <row r="50" spans="2:18" ht="13.5" x14ac:dyDescent="0.25">
      <c r="C50" s="13"/>
      <c r="E50" s="12"/>
      <c r="I50" s="7"/>
      <c r="J50" s="7"/>
      <c r="K50" s="6"/>
      <c r="L50" s="6"/>
      <c r="M50" s="6"/>
      <c r="N50" s="6"/>
      <c r="O50" s="6"/>
      <c r="P50" s="6"/>
      <c r="Q50" s="6"/>
      <c r="R50" s="6"/>
    </row>
    <row r="51" spans="2:18" ht="13.5" x14ac:dyDescent="0.25">
      <c r="C51" s="13"/>
      <c r="E51" s="12"/>
      <c r="I51" s="7"/>
      <c r="J51" s="7"/>
      <c r="K51" s="6"/>
      <c r="L51" s="6"/>
      <c r="M51" s="6"/>
      <c r="N51" s="6"/>
      <c r="O51" s="6"/>
      <c r="P51" s="6"/>
      <c r="Q51" s="6"/>
      <c r="R51" s="6"/>
    </row>
    <row r="52" spans="2:18" ht="13.5" x14ac:dyDescent="0.25">
      <c r="B52" s="10"/>
      <c r="C52" s="13"/>
      <c r="E52" s="12"/>
      <c r="I52" s="7"/>
      <c r="J52" s="7"/>
      <c r="K52" s="6"/>
      <c r="L52" s="6"/>
      <c r="M52" s="6"/>
      <c r="N52" s="6"/>
      <c r="O52" s="6"/>
      <c r="P52" s="6"/>
      <c r="Q52" s="6"/>
      <c r="R52" s="6"/>
    </row>
    <row r="53" spans="2:18" ht="13.5" x14ac:dyDescent="0.25">
      <c r="B53" s="10"/>
      <c r="C53" s="14"/>
      <c r="E53" s="12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 ht="13.5" x14ac:dyDescent="0.25">
      <c r="C54" s="17"/>
      <c r="E54" s="12"/>
      <c r="I54" s="7"/>
      <c r="J54" s="7"/>
      <c r="K54" s="6"/>
      <c r="L54" s="6"/>
      <c r="M54" s="6"/>
      <c r="N54" s="6"/>
      <c r="O54" s="6"/>
      <c r="P54" s="6"/>
      <c r="Q54" s="6"/>
      <c r="R54" s="6"/>
    </row>
    <row r="55" spans="2:18" ht="13.5" x14ac:dyDescent="0.25">
      <c r="E55" s="12"/>
      <c r="I55" s="7"/>
      <c r="J55" s="7"/>
      <c r="K55" s="6"/>
      <c r="L55" s="6"/>
      <c r="M55" s="6"/>
      <c r="N55" s="6"/>
      <c r="O55" s="6"/>
      <c r="P55" s="6"/>
      <c r="Q55" s="6"/>
      <c r="R55" s="6"/>
    </row>
    <row r="56" spans="2:18" ht="13.5" x14ac:dyDescent="0.25">
      <c r="C56" s="14"/>
      <c r="E56" s="12"/>
      <c r="I56" s="9"/>
      <c r="J56" s="9"/>
      <c r="K56" s="6"/>
      <c r="L56" s="6"/>
      <c r="M56" s="6"/>
      <c r="N56" s="6"/>
      <c r="O56" s="6"/>
      <c r="P56" s="6"/>
      <c r="Q56" s="6"/>
      <c r="R56" s="6"/>
    </row>
    <row r="57" spans="2:18" ht="13.5" x14ac:dyDescent="0.25">
      <c r="C57" s="14"/>
      <c r="E57" s="12"/>
      <c r="I57" s="9"/>
      <c r="J57" s="9"/>
      <c r="K57" s="6"/>
      <c r="L57" s="6"/>
      <c r="M57" s="6"/>
      <c r="N57" s="6"/>
      <c r="O57" s="6"/>
      <c r="P57" s="6"/>
      <c r="Q57" s="6"/>
      <c r="R57" s="6"/>
    </row>
    <row r="58" spans="2:18" ht="13.5" x14ac:dyDescent="0.25">
      <c r="B58" s="10"/>
      <c r="C58" s="14"/>
      <c r="E58" s="12"/>
      <c r="I58" s="9"/>
      <c r="J58" s="9"/>
      <c r="K58" s="6"/>
      <c r="L58" s="6"/>
      <c r="M58" s="6"/>
      <c r="N58" s="6"/>
      <c r="O58" s="6"/>
      <c r="P58" s="6"/>
      <c r="Q58" s="6"/>
      <c r="R58" s="6"/>
    </row>
    <row r="59" spans="2:18" ht="13.5" x14ac:dyDescent="0.25">
      <c r="B59" s="10"/>
      <c r="C59" s="14"/>
      <c r="E59" s="12"/>
      <c r="I59" s="7"/>
      <c r="J59" s="7"/>
      <c r="K59" s="6"/>
      <c r="L59" s="6"/>
      <c r="M59" s="6"/>
      <c r="N59" s="6"/>
      <c r="O59" s="6"/>
      <c r="P59" s="6"/>
      <c r="Q59" s="6"/>
      <c r="R59" s="6"/>
    </row>
    <row r="60" spans="2:18" ht="13.5" x14ac:dyDescent="0.25">
      <c r="E60" s="12"/>
      <c r="I60" s="7"/>
      <c r="J60" s="7"/>
      <c r="K60" s="6"/>
      <c r="L60" s="6"/>
      <c r="M60" s="6"/>
      <c r="N60" s="6"/>
      <c r="O60" s="6"/>
      <c r="P60" s="6"/>
      <c r="Q60" s="6"/>
      <c r="R60" s="6"/>
    </row>
    <row r="61" spans="2:18" ht="13.5" x14ac:dyDescent="0.25">
      <c r="B61" s="8"/>
      <c r="C61" s="6"/>
      <c r="D61" s="7"/>
      <c r="E61" s="8"/>
      <c r="F61" s="7"/>
      <c r="G61" s="7"/>
      <c r="H61" s="7"/>
      <c r="I61" s="7"/>
      <c r="J61" s="7"/>
      <c r="K61" s="6"/>
      <c r="L61" s="6"/>
      <c r="M61" s="6"/>
      <c r="N61" s="6"/>
      <c r="O61" s="6"/>
      <c r="P61" s="6"/>
      <c r="Q61" s="6"/>
      <c r="R61" s="6"/>
    </row>
    <row r="62" spans="2:18" ht="13.5" x14ac:dyDescent="0.25">
      <c r="B62" s="8"/>
      <c r="C62" s="6"/>
      <c r="D62" s="7"/>
      <c r="E62" s="8"/>
      <c r="F62" s="7"/>
      <c r="G62" s="7"/>
      <c r="H62" s="7"/>
      <c r="I62" s="7"/>
      <c r="J62" s="7"/>
      <c r="K62" s="6"/>
      <c r="L62" s="6"/>
      <c r="M62" s="6"/>
      <c r="N62" s="6"/>
      <c r="O62" s="6"/>
      <c r="P62" s="6"/>
      <c r="Q62" s="6"/>
      <c r="R62" s="6"/>
    </row>
    <row r="63" spans="2:18" ht="13.5" x14ac:dyDescent="0.25">
      <c r="B63" s="8"/>
      <c r="C63" s="6"/>
      <c r="D63" s="7"/>
      <c r="E63" s="8"/>
      <c r="F63" s="7"/>
      <c r="G63" s="7"/>
      <c r="H63" s="7"/>
      <c r="I63" s="7"/>
      <c r="J63" s="7"/>
      <c r="K63" s="6"/>
      <c r="L63" s="6"/>
      <c r="M63" s="6"/>
      <c r="N63" s="6"/>
      <c r="O63" s="6"/>
      <c r="P63" s="6"/>
      <c r="Q63" s="6"/>
      <c r="R63" s="6"/>
    </row>
    <row r="64" spans="2:18" ht="13.5" x14ac:dyDescent="0.25">
      <c r="B64" s="8"/>
      <c r="C64" s="6"/>
      <c r="D64" s="7"/>
      <c r="E64" s="8"/>
      <c r="F64" s="7"/>
      <c r="G64" s="7"/>
      <c r="H64" s="7"/>
      <c r="I64" s="7"/>
      <c r="J64" s="7"/>
      <c r="K64" s="6"/>
      <c r="L64" s="6"/>
      <c r="M64" s="6"/>
      <c r="N64" s="6"/>
      <c r="O64" s="6"/>
      <c r="P64" s="6"/>
      <c r="Q64" s="6"/>
      <c r="R64" s="6"/>
    </row>
    <row r="65" spans="1:18" ht="13.5" x14ac:dyDescent="0.25">
      <c r="B65" s="8"/>
      <c r="C65" s="6"/>
      <c r="D65" s="7"/>
      <c r="E65" s="8"/>
      <c r="F65" s="7"/>
      <c r="G65" s="7"/>
      <c r="H65" s="7"/>
      <c r="I65" s="7"/>
      <c r="J65" s="7"/>
      <c r="K65" s="6"/>
      <c r="L65" s="6"/>
      <c r="M65" s="6"/>
      <c r="N65" s="6"/>
      <c r="O65" s="6"/>
      <c r="P65" s="6"/>
      <c r="Q65" s="6"/>
      <c r="R65" s="6"/>
    </row>
    <row r="66" spans="1:18" x14ac:dyDescent="0.2">
      <c r="B66" s="10"/>
      <c r="C66" s="11"/>
      <c r="E66" s="12"/>
    </row>
    <row r="67" spans="1:18" s="4" customFormat="1" ht="12.75" customHeight="1" x14ac:dyDescent="0.2">
      <c r="A67" s="5"/>
      <c r="B67" s="12"/>
      <c r="C67" s="13"/>
      <c r="E67" s="12"/>
      <c r="K67" s="5"/>
      <c r="L67" s="5"/>
      <c r="M67" s="5"/>
      <c r="N67" s="5"/>
      <c r="O67" s="5"/>
      <c r="P67" s="5"/>
      <c r="Q67" s="5"/>
      <c r="R67" s="5"/>
    </row>
    <row r="68" spans="1:18" s="4" customFormat="1" x14ac:dyDescent="0.2">
      <c r="A68" s="5"/>
      <c r="B68" s="12"/>
      <c r="C68" s="13"/>
      <c r="E68" s="12"/>
      <c r="K68" s="5"/>
      <c r="L68" s="5"/>
      <c r="M68" s="5"/>
      <c r="N68" s="5"/>
      <c r="O68" s="5"/>
      <c r="P68" s="5"/>
      <c r="Q68" s="5"/>
      <c r="R68" s="5"/>
    </row>
    <row r="69" spans="1:18" s="4" customFormat="1" x14ac:dyDescent="0.2">
      <c r="A69" s="5"/>
      <c r="B69" s="12"/>
      <c r="C69" s="13"/>
      <c r="E69" s="12"/>
      <c r="K69" s="5"/>
      <c r="L69" s="5"/>
      <c r="M69" s="5"/>
      <c r="N69" s="5"/>
      <c r="O69" s="5"/>
      <c r="P69" s="5"/>
      <c r="Q69" s="5"/>
      <c r="R69" s="5"/>
    </row>
    <row r="70" spans="1:18" s="4" customFormat="1" x14ac:dyDescent="0.2">
      <c r="A70" s="5"/>
      <c r="B70" s="12"/>
      <c r="C70" s="13"/>
      <c r="E70" s="12"/>
      <c r="K70" s="5"/>
      <c r="L70" s="5"/>
      <c r="M70" s="5"/>
      <c r="N70" s="5"/>
      <c r="O70" s="5"/>
      <c r="P70" s="5"/>
      <c r="Q70" s="5"/>
      <c r="R70" s="5"/>
    </row>
    <row r="71" spans="1:18" s="4" customFormat="1" x14ac:dyDescent="0.2">
      <c r="A71" s="5"/>
      <c r="B71" s="12"/>
      <c r="C71" s="13"/>
      <c r="E71" s="12"/>
      <c r="K71" s="5"/>
      <c r="L71" s="5"/>
      <c r="M71" s="5"/>
      <c r="N71" s="5"/>
      <c r="O71" s="5"/>
      <c r="P71" s="5"/>
      <c r="Q71" s="5"/>
      <c r="R71" s="5"/>
    </row>
    <row r="72" spans="1:18" s="4" customFormat="1" x14ac:dyDescent="0.2">
      <c r="A72" s="5"/>
      <c r="B72" s="12"/>
      <c r="C72" s="13"/>
      <c r="E72" s="12"/>
      <c r="K72" s="5"/>
      <c r="L72" s="5"/>
      <c r="M72" s="5"/>
      <c r="N72" s="5"/>
      <c r="O72" s="5"/>
      <c r="P72" s="5"/>
      <c r="Q72" s="5"/>
      <c r="R72" s="5"/>
    </row>
    <row r="73" spans="1:18" s="4" customFormat="1" x14ac:dyDescent="0.2">
      <c r="A73" s="5"/>
      <c r="B73" s="12"/>
      <c r="C73" s="13"/>
      <c r="E73" s="12"/>
      <c r="K73" s="5"/>
      <c r="L73" s="5"/>
      <c r="M73" s="5"/>
      <c r="N73" s="5"/>
      <c r="O73" s="5"/>
      <c r="P73" s="5"/>
      <c r="Q73" s="5"/>
      <c r="R73" s="5"/>
    </row>
    <row r="74" spans="1:18" s="4" customFormat="1" x14ac:dyDescent="0.2">
      <c r="A74" s="5"/>
      <c r="B74" s="10"/>
      <c r="C74" s="14"/>
      <c r="E74" s="12"/>
      <c r="K74" s="5"/>
      <c r="L74" s="5"/>
      <c r="M74" s="5"/>
      <c r="N74" s="5"/>
      <c r="O74" s="5"/>
      <c r="P74" s="5"/>
      <c r="Q74" s="5"/>
      <c r="R74" s="5"/>
    </row>
    <row r="75" spans="1:18" s="4" customFormat="1" x14ac:dyDescent="0.2">
      <c r="A75" s="5"/>
      <c r="B75" s="15"/>
      <c r="C75" s="16"/>
      <c r="E75" s="12"/>
      <c r="K75" s="5"/>
      <c r="L75" s="5"/>
      <c r="M75" s="5"/>
      <c r="N75" s="5"/>
      <c r="O75" s="5"/>
      <c r="P75" s="5"/>
      <c r="Q75" s="5"/>
      <c r="R75" s="5"/>
    </row>
    <row r="76" spans="1:18" s="4" customFormat="1" x14ac:dyDescent="0.2">
      <c r="A76" s="5"/>
      <c r="B76" s="10"/>
      <c r="C76" s="14"/>
      <c r="E76" s="12"/>
      <c r="K76" s="5"/>
      <c r="L76" s="5"/>
      <c r="M76" s="5"/>
      <c r="N76" s="5"/>
      <c r="O76" s="5"/>
      <c r="P76" s="5"/>
      <c r="Q76" s="5"/>
      <c r="R76" s="5"/>
    </row>
    <row r="77" spans="1:18" s="4" customFormat="1" x14ac:dyDescent="0.2">
      <c r="A77" s="5"/>
      <c r="B77" s="12"/>
      <c r="C77" s="5"/>
      <c r="E77" s="12"/>
      <c r="K77" s="5"/>
      <c r="L77" s="5"/>
      <c r="M77" s="5"/>
      <c r="N77" s="5"/>
      <c r="O77" s="5"/>
      <c r="P77" s="5"/>
      <c r="Q77" s="5"/>
      <c r="R77" s="5"/>
    </row>
    <row r="78" spans="1:18" s="4" customFormat="1" x14ac:dyDescent="0.2">
      <c r="A78" s="5"/>
      <c r="B78" s="12"/>
      <c r="C78" s="5"/>
      <c r="E78" s="12"/>
      <c r="K78" s="5"/>
      <c r="L78" s="5"/>
      <c r="M78" s="5"/>
      <c r="N78" s="5"/>
      <c r="O78" s="5"/>
      <c r="P78" s="5"/>
      <c r="Q78" s="5"/>
      <c r="R78" s="5"/>
    </row>
    <row r="79" spans="1:18" s="4" customFormat="1" x14ac:dyDescent="0.2">
      <c r="A79" s="5"/>
      <c r="B79" s="12"/>
      <c r="C79" s="5"/>
      <c r="E79" s="12"/>
      <c r="K79" s="5"/>
      <c r="L79" s="5"/>
      <c r="M79" s="5"/>
      <c r="N79" s="5"/>
      <c r="O79" s="5"/>
      <c r="P79" s="5"/>
      <c r="Q79" s="5"/>
      <c r="R79" s="5"/>
    </row>
    <row r="80" spans="1:18" s="4" customFormat="1" x14ac:dyDescent="0.2">
      <c r="A80" s="5"/>
      <c r="B80" s="12"/>
      <c r="C80" s="5"/>
      <c r="E80" s="12"/>
      <c r="K80" s="5"/>
      <c r="L80" s="5"/>
      <c r="M80" s="5"/>
      <c r="N80" s="5"/>
      <c r="O80" s="5"/>
      <c r="P80" s="5"/>
      <c r="Q80" s="5"/>
      <c r="R80" s="5"/>
    </row>
    <row r="81" spans="1:18" s="4" customFormat="1" x14ac:dyDescent="0.2">
      <c r="A81" s="5"/>
      <c r="B81" s="12"/>
      <c r="C81" s="5"/>
      <c r="E81" s="12"/>
      <c r="K81" s="5"/>
      <c r="L81" s="5"/>
      <c r="M81" s="5"/>
      <c r="N81" s="5"/>
      <c r="O81" s="5"/>
      <c r="P81" s="5"/>
      <c r="Q81" s="5"/>
      <c r="R81" s="5"/>
    </row>
    <row r="82" spans="1:18" s="4" customFormat="1" x14ac:dyDescent="0.2">
      <c r="A82" s="5"/>
      <c r="B82" s="10"/>
      <c r="C82" s="14"/>
      <c r="E82" s="12"/>
      <c r="K82" s="5"/>
      <c r="L82" s="5"/>
      <c r="M82" s="5"/>
      <c r="N82" s="5"/>
      <c r="O82" s="5"/>
      <c r="P82" s="5"/>
      <c r="Q82" s="5"/>
      <c r="R82" s="5"/>
    </row>
    <row r="83" spans="1:18" x14ac:dyDescent="0.2">
      <c r="E83" s="12"/>
    </row>
    <row r="84" spans="1:18" x14ac:dyDescent="0.2">
      <c r="C84" s="17"/>
      <c r="E84" s="12"/>
    </row>
    <row r="85" spans="1:18" x14ac:dyDescent="0.2">
      <c r="E85" s="12"/>
    </row>
    <row r="86" spans="1:18" x14ac:dyDescent="0.2">
      <c r="E86" s="12"/>
    </row>
    <row r="87" spans="1:18" x14ac:dyDescent="0.2">
      <c r="E87" s="12"/>
    </row>
    <row r="88" spans="1:18" x14ac:dyDescent="0.2">
      <c r="E88" s="12"/>
    </row>
    <row r="89" spans="1:18" x14ac:dyDescent="0.2">
      <c r="E89" s="12"/>
    </row>
    <row r="90" spans="1:18" x14ac:dyDescent="0.2">
      <c r="E90" s="12"/>
    </row>
    <row r="91" spans="1:18" x14ac:dyDescent="0.2">
      <c r="E91" s="12"/>
    </row>
    <row r="92" spans="1:18" x14ac:dyDescent="0.2">
      <c r="E92" s="12"/>
    </row>
    <row r="93" spans="1:18" x14ac:dyDescent="0.2">
      <c r="C93" s="12"/>
      <c r="E93" s="12"/>
      <c r="I93" s="18"/>
      <c r="J93" s="18"/>
    </row>
    <row r="94" spans="1:18" x14ac:dyDescent="0.2">
      <c r="E94" s="12"/>
    </row>
    <row r="95" spans="1:18" x14ac:dyDescent="0.2">
      <c r="E95" s="12"/>
    </row>
    <row r="96" spans="1:18" x14ac:dyDescent="0.2">
      <c r="E96" s="12"/>
    </row>
    <row r="97" spans="1:18" x14ac:dyDescent="0.2">
      <c r="E97" s="12"/>
    </row>
    <row r="98" spans="1:18" x14ac:dyDescent="0.2">
      <c r="E98" s="12"/>
    </row>
    <row r="99" spans="1:18" s="4" customFormat="1" x14ac:dyDescent="0.2">
      <c r="A99" s="5"/>
      <c r="B99" s="12"/>
      <c r="C99" s="5"/>
      <c r="E99" s="12"/>
      <c r="K99" s="5"/>
      <c r="L99" s="5"/>
      <c r="M99" s="5"/>
      <c r="N99" s="5"/>
      <c r="O99" s="5"/>
      <c r="P99" s="5"/>
      <c r="Q99" s="5"/>
      <c r="R99" s="5"/>
    </row>
    <row r="100" spans="1:18" s="4" customFormat="1" x14ac:dyDescent="0.2">
      <c r="A100" s="5"/>
      <c r="B100" s="12"/>
      <c r="C100" s="5"/>
      <c r="E100" s="12"/>
      <c r="K100" s="5"/>
      <c r="L100" s="5"/>
      <c r="M100" s="5"/>
      <c r="N100" s="5"/>
      <c r="O100" s="5"/>
      <c r="P100" s="5"/>
      <c r="Q100" s="5"/>
      <c r="R100" s="5"/>
    </row>
    <row r="101" spans="1:18" s="4" customFormat="1" x14ac:dyDescent="0.2">
      <c r="A101" s="5"/>
      <c r="B101" s="12"/>
      <c r="C101" s="5"/>
      <c r="E101" s="12"/>
      <c r="K101" s="5"/>
      <c r="L101" s="5"/>
      <c r="M101" s="5"/>
      <c r="N101" s="5"/>
      <c r="O101" s="5"/>
      <c r="P101" s="5"/>
      <c r="Q101" s="5"/>
      <c r="R101" s="5"/>
    </row>
    <row r="102" spans="1:18" s="4" customFormat="1" x14ac:dyDescent="0.2">
      <c r="A102" s="5"/>
      <c r="B102" s="12"/>
      <c r="C102" s="5"/>
      <c r="E102" s="12"/>
      <c r="K102" s="5"/>
      <c r="L102" s="5"/>
      <c r="M102" s="5"/>
      <c r="N102" s="5"/>
      <c r="O102" s="5"/>
      <c r="P102" s="5"/>
      <c r="Q102" s="5"/>
      <c r="R102" s="5"/>
    </row>
    <row r="103" spans="1:18" s="4" customFormat="1" x14ac:dyDescent="0.2">
      <c r="A103" s="5"/>
      <c r="B103" s="12"/>
      <c r="C103" s="5"/>
      <c r="E103" s="12"/>
      <c r="K103" s="5"/>
      <c r="L103" s="5"/>
      <c r="M103" s="5"/>
      <c r="N103" s="5"/>
      <c r="O103" s="5"/>
      <c r="P103" s="5"/>
      <c r="Q103" s="5"/>
      <c r="R103" s="5"/>
    </row>
    <row r="104" spans="1:18" s="4" customFormat="1" x14ac:dyDescent="0.2">
      <c r="A104" s="5"/>
      <c r="B104" s="12"/>
      <c r="C104" s="5"/>
      <c r="E104" s="12"/>
      <c r="K104" s="5"/>
      <c r="L104" s="5"/>
      <c r="M104" s="5"/>
      <c r="N104" s="5"/>
      <c r="O104" s="5"/>
      <c r="P104" s="5"/>
      <c r="Q104" s="5"/>
      <c r="R104" s="5"/>
    </row>
    <row r="105" spans="1:18" s="4" customFormat="1" x14ac:dyDescent="0.2">
      <c r="A105" s="5"/>
      <c r="B105" s="12"/>
      <c r="C105" s="5"/>
      <c r="E105" s="12"/>
      <c r="K105" s="5"/>
      <c r="L105" s="5"/>
      <c r="M105" s="5"/>
      <c r="N105" s="5"/>
      <c r="O105" s="5"/>
      <c r="P105" s="5"/>
      <c r="Q105" s="5"/>
      <c r="R105" s="5"/>
    </row>
    <row r="106" spans="1:18" s="4" customFormat="1" x14ac:dyDescent="0.2">
      <c r="A106" s="5"/>
      <c r="B106" s="12"/>
      <c r="C106" s="5"/>
      <c r="E106" s="12"/>
      <c r="K106" s="5"/>
      <c r="L106" s="5"/>
      <c r="M106" s="5"/>
      <c r="N106" s="5"/>
      <c r="O106" s="5"/>
      <c r="P106" s="5"/>
      <c r="Q106" s="5"/>
      <c r="R106" s="5"/>
    </row>
    <row r="107" spans="1:18" s="4" customFormat="1" x14ac:dyDescent="0.2">
      <c r="A107" s="5"/>
      <c r="B107" s="12"/>
      <c r="C107" s="5"/>
      <c r="E107" s="12"/>
      <c r="K107" s="5"/>
      <c r="L107" s="5"/>
      <c r="M107" s="5"/>
      <c r="N107" s="5"/>
      <c r="O107" s="5"/>
      <c r="P107" s="5"/>
      <c r="Q107" s="5"/>
      <c r="R107" s="5"/>
    </row>
    <row r="108" spans="1:18" s="4" customFormat="1" x14ac:dyDescent="0.2">
      <c r="A108" s="5"/>
      <c r="B108" s="12"/>
      <c r="C108" s="5"/>
      <c r="E108" s="12"/>
      <c r="K108" s="5"/>
      <c r="L108" s="5"/>
      <c r="M108" s="5"/>
      <c r="N108" s="5"/>
      <c r="O108" s="5"/>
      <c r="P108" s="5"/>
      <c r="Q108" s="5"/>
      <c r="R108" s="5"/>
    </row>
    <row r="109" spans="1:18" s="4" customFormat="1" x14ac:dyDescent="0.2">
      <c r="A109" s="5"/>
      <c r="B109" s="12"/>
      <c r="C109" s="5"/>
      <c r="E109" s="12"/>
      <c r="K109" s="5"/>
      <c r="L109" s="5"/>
      <c r="M109" s="5"/>
      <c r="N109" s="5"/>
      <c r="O109" s="5"/>
      <c r="P109" s="5"/>
      <c r="Q109" s="5"/>
      <c r="R109" s="5"/>
    </row>
    <row r="110" spans="1:18" s="4" customFormat="1" x14ac:dyDescent="0.2">
      <c r="A110" s="5"/>
      <c r="B110" s="12"/>
      <c r="C110" s="14"/>
      <c r="E110" s="12"/>
      <c r="K110" s="5"/>
      <c r="L110" s="5"/>
      <c r="M110" s="5"/>
      <c r="N110" s="5"/>
      <c r="O110" s="5"/>
      <c r="P110" s="5"/>
      <c r="Q110" s="5"/>
      <c r="R110" s="5"/>
    </row>
    <row r="111" spans="1:18" s="4" customFormat="1" x14ac:dyDescent="0.2">
      <c r="A111" s="5"/>
      <c r="B111" s="12"/>
      <c r="C111" s="14"/>
      <c r="E111" s="12"/>
      <c r="K111" s="5"/>
      <c r="L111" s="5"/>
      <c r="M111" s="5"/>
      <c r="N111" s="5"/>
      <c r="O111" s="5"/>
      <c r="P111" s="5"/>
      <c r="Q111" s="5"/>
      <c r="R111" s="5"/>
    </row>
    <row r="112" spans="1:18" s="4" customFormat="1" x14ac:dyDescent="0.2">
      <c r="A112" s="5"/>
      <c r="B112" s="12"/>
      <c r="C112" s="14"/>
      <c r="E112" s="12"/>
      <c r="K112" s="5"/>
      <c r="L112" s="5"/>
      <c r="M112" s="5"/>
      <c r="N112" s="5"/>
      <c r="O112" s="5"/>
      <c r="P112" s="5"/>
      <c r="Q112" s="5"/>
      <c r="R112" s="5"/>
    </row>
    <row r="113" spans="1:18" s="4" customFormat="1" x14ac:dyDescent="0.2">
      <c r="A113" s="5"/>
      <c r="B113" s="12"/>
      <c r="C113" s="5"/>
      <c r="E113" s="12"/>
      <c r="K113" s="5"/>
      <c r="L113" s="5"/>
      <c r="M113" s="5"/>
      <c r="N113" s="5"/>
      <c r="O113" s="5"/>
      <c r="P113" s="5"/>
      <c r="Q113" s="5"/>
      <c r="R113" s="5"/>
    </row>
    <row r="114" spans="1:18" s="4" customFormat="1" x14ac:dyDescent="0.2">
      <c r="A114" s="5"/>
      <c r="B114" s="12"/>
      <c r="C114" s="5"/>
      <c r="E114" s="12"/>
      <c r="K114" s="5"/>
      <c r="L114" s="5"/>
      <c r="M114" s="5"/>
      <c r="N114" s="5"/>
      <c r="O114" s="5"/>
      <c r="P114" s="5"/>
      <c r="Q114" s="5"/>
      <c r="R114" s="5"/>
    </row>
    <row r="115" spans="1:18" s="4" customFormat="1" x14ac:dyDescent="0.2">
      <c r="A115" s="5"/>
      <c r="B115" s="12"/>
      <c r="C115" s="5"/>
      <c r="E115" s="12"/>
      <c r="K115" s="5"/>
      <c r="L115" s="5"/>
      <c r="M115" s="5"/>
      <c r="N115" s="5"/>
      <c r="O115" s="5"/>
      <c r="P115" s="5"/>
      <c r="Q115" s="5"/>
      <c r="R115" s="5"/>
    </row>
    <row r="116" spans="1:18" s="4" customFormat="1" x14ac:dyDescent="0.2">
      <c r="A116" s="5"/>
      <c r="B116" s="12"/>
      <c r="C116" s="5"/>
      <c r="E116" s="12"/>
      <c r="K116" s="5"/>
      <c r="L116" s="5"/>
      <c r="M116" s="5"/>
      <c r="N116" s="5"/>
      <c r="O116" s="5"/>
      <c r="P116" s="5"/>
      <c r="Q116" s="5"/>
      <c r="R116" s="5"/>
    </row>
    <row r="117" spans="1:18" s="4" customFormat="1" x14ac:dyDescent="0.2">
      <c r="A117" s="5"/>
      <c r="B117" s="12"/>
      <c r="C117" s="5"/>
      <c r="E117" s="12"/>
      <c r="K117" s="5"/>
      <c r="L117" s="5"/>
      <c r="M117" s="5"/>
      <c r="N117" s="5"/>
      <c r="O117" s="5"/>
      <c r="P117" s="5"/>
      <c r="Q117" s="5"/>
      <c r="R117" s="5"/>
    </row>
    <row r="118" spans="1:18" s="4" customFormat="1" x14ac:dyDescent="0.2">
      <c r="A118" s="5"/>
      <c r="B118" s="12"/>
      <c r="C118" s="5"/>
      <c r="E118" s="12"/>
      <c r="K118" s="5"/>
      <c r="L118" s="5"/>
      <c r="M118" s="5"/>
      <c r="N118" s="5"/>
      <c r="O118" s="5"/>
      <c r="P118" s="5"/>
      <c r="Q118" s="5"/>
      <c r="R118" s="5"/>
    </row>
  </sheetData>
  <mergeCells count="20">
    <mergeCell ref="D2:H3"/>
    <mergeCell ref="D4:H5"/>
    <mergeCell ref="D6:H7"/>
    <mergeCell ref="B9:C9"/>
    <mergeCell ref="B8:C8"/>
    <mergeCell ref="D8:H8"/>
    <mergeCell ref="D9:H9"/>
    <mergeCell ref="D33:G33"/>
    <mergeCell ref="D34:G34"/>
    <mergeCell ref="D35:G35"/>
    <mergeCell ref="D36:G36"/>
    <mergeCell ref="H11:H12"/>
    <mergeCell ref="B13:H13"/>
    <mergeCell ref="B22:H22"/>
    <mergeCell ref="B10:H10"/>
    <mergeCell ref="B11:B12"/>
    <mergeCell ref="C11:C12"/>
    <mergeCell ref="D11:D12"/>
    <mergeCell ref="E11:E12"/>
    <mergeCell ref="F11:G11"/>
  </mergeCells>
  <printOptions horizontalCentered="1"/>
  <pageMargins left="0.59055118110236227" right="0.59055118110236227" top="0.59055118110236227" bottom="0.78740157480314965" header="0.39370078740157483" footer="0.59055118110236227"/>
  <pageSetup paperSize="9" scale="80" fitToHeight="0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opLeftCell="B16" zoomScale="70" zoomScaleNormal="70" zoomScaleSheetLayoutView="40" workbookViewId="0">
      <pane ySplit="9" topLeftCell="A46" activePane="bottomLeft" state="frozen"/>
      <selection activeCell="A16" sqref="A16"/>
      <selection pane="bottomLeft" activeCell="E55" sqref="E55"/>
    </sheetView>
  </sheetViews>
  <sheetFormatPr defaultRowHeight="15" x14ac:dyDescent="0.25"/>
  <cols>
    <col min="1" max="2" width="7.85546875" style="216" customWidth="1"/>
    <col min="3" max="3" width="53" customWidth="1"/>
    <col min="4" max="4" width="9.28515625" bestFit="1" customWidth="1"/>
    <col min="5" max="5" width="34.85546875" customWidth="1"/>
    <col min="6" max="6" width="6.7109375" hidden="1" customWidth="1"/>
    <col min="7" max="7" width="11.85546875" customWidth="1"/>
    <col min="8" max="8" width="11.85546875" style="216" customWidth="1"/>
    <col min="9" max="9" width="11.85546875" customWidth="1"/>
    <col min="10" max="10" width="11.5703125" customWidth="1"/>
    <col min="11" max="11" width="11" customWidth="1"/>
    <col min="12" max="12" width="15.85546875" style="216" customWidth="1"/>
    <col min="13" max="13" width="11.5703125" customWidth="1"/>
    <col min="14" max="14" width="17.140625" style="217" customWidth="1"/>
    <col min="15" max="15" width="11.5703125" style="21" customWidth="1"/>
    <col min="16" max="16" width="7.5703125" customWidth="1"/>
  </cols>
  <sheetData>
    <row r="1" spans="1:23" x14ac:dyDescent="0.25">
      <c r="A1" s="26"/>
      <c r="B1" s="26"/>
      <c r="C1" s="27"/>
      <c r="D1" s="27"/>
      <c r="E1" s="27"/>
      <c r="F1" s="27"/>
      <c r="G1" s="28"/>
      <c r="H1" s="28"/>
      <c r="I1" s="28"/>
      <c r="J1" s="29"/>
      <c r="K1" s="30"/>
      <c r="L1" s="30"/>
      <c r="M1" s="30"/>
      <c r="N1" s="218"/>
      <c r="P1" s="27"/>
    </row>
    <row r="2" spans="1:23" s="251" customFormat="1" ht="15.75" x14ac:dyDescent="0.25">
      <c r="A2" s="492"/>
      <c r="B2" s="492"/>
      <c r="C2" s="493"/>
      <c r="D2" s="498"/>
      <c r="E2" s="493"/>
      <c r="F2" s="501" t="s">
        <v>16</v>
      </c>
      <c r="G2" s="501"/>
      <c r="H2" s="501"/>
      <c r="I2" s="501"/>
      <c r="J2" s="501"/>
      <c r="K2" s="501"/>
      <c r="L2" s="501"/>
      <c r="M2" s="501"/>
      <c r="N2" s="502"/>
      <c r="O2" s="244"/>
      <c r="P2" s="100"/>
      <c r="Q2" s="250"/>
    </row>
    <row r="3" spans="1:23" s="251" customFormat="1" ht="15.75" x14ac:dyDescent="0.25">
      <c r="A3" s="494"/>
      <c r="B3" s="494"/>
      <c r="C3" s="495"/>
      <c r="D3" s="499"/>
      <c r="E3" s="495"/>
      <c r="F3" s="503"/>
      <c r="G3" s="503"/>
      <c r="H3" s="503"/>
      <c r="I3" s="503"/>
      <c r="J3" s="503"/>
      <c r="K3" s="503"/>
      <c r="L3" s="503"/>
      <c r="M3" s="503"/>
      <c r="N3" s="504"/>
      <c r="O3" s="244"/>
      <c r="P3" s="100"/>
      <c r="Q3" s="250"/>
    </row>
    <row r="4" spans="1:23" s="251" customFormat="1" ht="15.75" x14ac:dyDescent="0.25">
      <c r="A4" s="494"/>
      <c r="B4" s="494"/>
      <c r="C4" s="495"/>
      <c r="D4" s="499"/>
      <c r="E4" s="495"/>
      <c r="F4" s="501" t="s">
        <v>15</v>
      </c>
      <c r="G4" s="501"/>
      <c r="H4" s="501"/>
      <c r="I4" s="501"/>
      <c r="J4" s="501"/>
      <c r="K4" s="501"/>
      <c r="L4" s="501"/>
      <c r="M4" s="501"/>
      <c r="N4" s="502"/>
      <c r="O4" s="244"/>
      <c r="P4" s="252"/>
      <c r="Q4" s="250"/>
    </row>
    <row r="5" spans="1:23" s="251" customFormat="1" ht="15.75" x14ac:dyDescent="0.25">
      <c r="A5" s="494"/>
      <c r="B5" s="494"/>
      <c r="C5" s="495"/>
      <c r="D5" s="499"/>
      <c r="E5" s="495"/>
      <c r="F5" s="503"/>
      <c r="G5" s="503"/>
      <c r="H5" s="503"/>
      <c r="I5" s="503"/>
      <c r="J5" s="503"/>
      <c r="K5" s="503"/>
      <c r="L5" s="503"/>
      <c r="M5" s="503"/>
      <c r="N5" s="504"/>
      <c r="O5" s="244"/>
      <c r="P5" s="252"/>
      <c r="Q5" s="250"/>
      <c r="R5" s="250"/>
      <c r="S5" s="250"/>
      <c r="T5" s="250"/>
      <c r="U5" s="250"/>
      <c r="V5" s="250"/>
      <c r="W5" s="250"/>
    </row>
    <row r="6" spans="1:23" s="251" customFormat="1" ht="15.75" x14ac:dyDescent="0.25">
      <c r="A6" s="494"/>
      <c r="B6" s="494"/>
      <c r="C6" s="495"/>
      <c r="D6" s="499"/>
      <c r="E6" s="495"/>
      <c r="F6" s="501" t="s">
        <v>12</v>
      </c>
      <c r="G6" s="501"/>
      <c r="H6" s="501"/>
      <c r="I6" s="501"/>
      <c r="J6" s="501"/>
      <c r="K6" s="501"/>
      <c r="L6" s="501"/>
      <c r="M6" s="501"/>
      <c r="N6" s="502"/>
      <c r="O6" s="244"/>
      <c r="P6" s="100"/>
      <c r="Q6" s="250"/>
      <c r="R6" s="250"/>
      <c r="S6" s="250"/>
      <c r="T6" s="250"/>
      <c r="U6" s="250"/>
      <c r="V6" s="250"/>
      <c r="W6" s="250"/>
    </row>
    <row r="7" spans="1:23" s="251" customFormat="1" ht="15.75" x14ac:dyDescent="0.25">
      <c r="A7" s="496"/>
      <c r="B7" s="496"/>
      <c r="C7" s="497"/>
      <c r="D7" s="500"/>
      <c r="E7" s="497"/>
      <c r="F7" s="503"/>
      <c r="G7" s="503"/>
      <c r="H7" s="503"/>
      <c r="I7" s="503"/>
      <c r="J7" s="503"/>
      <c r="K7" s="503"/>
      <c r="L7" s="503"/>
      <c r="M7" s="503"/>
      <c r="N7" s="504"/>
      <c r="O7" s="244"/>
      <c r="P7" s="100"/>
      <c r="Q7" s="250"/>
      <c r="R7" s="250"/>
      <c r="S7" s="471"/>
      <c r="T7" s="471"/>
      <c r="U7" s="471"/>
      <c r="V7" s="471"/>
      <c r="W7" s="250"/>
    </row>
    <row r="8" spans="1:23" s="256" customFormat="1" ht="15.75" x14ac:dyDescent="0.25">
      <c r="A8" s="253"/>
      <c r="B8" s="253"/>
      <c r="C8" s="253"/>
      <c r="D8" s="253"/>
      <c r="E8" s="253"/>
      <c r="F8" s="174"/>
      <c r="G8" s="174"/>
      <c r="H8" s="174"/>
      <c r="I8" s="174"/>
      <c r="J8" s="174"/>
      <c r="K8" s="174"/>
      <c r="L8" s="174"/>
      <c r="M8" s="174"/>
      <c r="N8" s="219"/>
      <c r="O8" s="254"/>
      <c r="P8" s="255"/>
      <c r="S8" s="471"/>
      <c r="T8" s="471"/>
      <c r="U8" s="471"/>
      <c r="V8" s="471"/>
    </row>
    <row r="9" spans="1:23" s="251" customFormat="1" ht="15.75" x14ac:dyDescent="0.25">
      <c r="A9" s="489"/>
      <c r="B9" s="489"/>
      <c r="C9" s="489"/>
      <c r="D9" s="489"/>
      <c r="E9" s="489"/>
      <c r="F9" s="486" t="s">
        <v>215</v>
      </c>
      <c r="G9" s="486"/>
      <c r="H9" s="486"/>
      <c r="I9" s="486"/>
      <c r="J9" s="486"/>
      <c r="K9" s="486"/>
      <c r="L9" s="486"/>
      <c r="M9" s="486"/>
      <c r="N9" s="486"/>
      <c r="O9" s="244"/>
      <c r="P9" s="101"/>
      <c r="Q9" s="250"/>
      <c r="R9" s="250"/>
      <c r="S9" s="471"/>
      <c r="T9" s="471"/>
      <c r="U9" s="471"/>
      <c r="V9" s="471"/>
      <c r="W9" s="250"/>
    </row>
    <row r="10" spans="1:23" s="251" customFormat="1" ht="15.75" x14ac:dyDescent="0.25">
      <c r="A10" s="488"/>
      <c r="B10" s="488"/>
      <c r="C10" s="489"/>
      <c r="D10" s="489"/>
      <c r="E10" s="489"/>
      <c r="F10" s="487" t="s">
        <v>142</v>
      </c>
      <c r="G10" s="487"/>
      <c r="H10" s="487"/>
      <c r="I10" s="487"/>
      <c r="J10" s="487"/>
      <c r="K10" s="487"/>
      <c r="L10" s="487"/>
      <c r="M10" s="487"/>
      <c r="N10" s="487"/>
      <c r="O10" s="244"/>
      <c r="P10" s="102"/>
      <c r="Q10" s="250"/>
      <c r="R10" s="250"/>
      <c r="S10" s="471"/>
      <c r="T10" s="471"/>
      <c r="U10" s="471"/>
      <c r="V10" s="471"/>
      <c r="W10" s="250"/>
    </row>
    <row r="11" spans="1:23" s="251" customFormat="1" ht="15.75" x14ac:dyDescent="0.25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244"/>
      <c r="R11" s="250"/>
      <c r="S11" s="471"/>
      <c r="T11" s="471"/>
      <c r="U11" s="471"/>
      <c r="V11" s="471"/>
      <c r="W11" s="250"/>
    </row>
    <row r="12" spans="1:23" s="251" customFormat="1" ht="15.75" x14ac:dyDescent="0.25">
      <c r="A12" s="484"/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5"/>
      <c r="O12" s="244"/>
      <c r="P12" s="259"/>
      <c r="R12" s="250"/>
      <c r="S12" s="471"/>
      <c r="T12" s="471"/>
      <c r="U12" s="471"/>
      <c r="V12" s="471"/>
      <c r="W12" s="250"/>
    </row>
    <row r="13" spans="1:23" s="250" customFormat="1" ht="15.75" x14ac:dyDescent="0.25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1"/>
      <c r="O13" s="262"/>
      <c r="P13" s="259"/>
      <c r="S13" s="471"/>
      <c r="T13" s="471"/>
      <c r="U13" s="471"/>
      <c r="V13" s="471"/>
    </row>
    <row r="14" spans="1:23" s="251" customFormat="1" ht="15.75" x14ac:dyDescent="0.25">
      <c r="A14" s="490"/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1"/>
      <c r="O14" s="244"/>
      <c r="P14" s="259"/>
      <c r="R14" s="250"/>
      <c r="S14" s="471"/>
      <c r="T14" s="471"/>
      <c r="U14" s="471"/>
      <c r="V14" s="471"/>
      <c r="W14" s="250"/>
    </row>
    <row r="15" spans="1:23" s="256" customFormat="1" ht="15.75" x14ac:dyDescent="0.25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1"/>
      <c r="O15" s="244"/>
      <c r="P15" s="263"/>
      <c r="S15" s="471"/>
      <c r="T15" s="471"/>
      <c r="U15" s="471"/>
      <c r="V15" s="471"/>
    </row>
    <row r="16" spans="1:23" s="256" customFormat="1" ht="16.5" thickBot="1" x14ac:dyDescent="0.3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44"/>
      <c r="P16" s="263"/>
      <c r="S16" s="471"/>
      <c r="T16" s="471"/>
      <c r="U16" s="471"/>
      <c r="V16" s="471"/>
    </row>
    <row r="17" spans="1:23" s="244" customFormat="1" x14ac:dyDescent="0.25">
      <c r="C17" s="468"/>
      <c r="D17" s="469"/>
      <c r="E17" s="469"/>
      <c r="F17" s="469"/>
      <c r="G17" s="472" t="s">
        <v>16</v>
      </c>
      <c r="H17" s="473"/>
      <c r="I17" s="473"/>
      <c r="J17" s="473"/>
      <c r="K17" s="473"/>
      <c r="L17" s="473"/>
      <c r="M17" s="473"/>
      <c r="N17" s="474"/>
      <c r="S17" s="471"/>
      <c r="T17" s="471"/>
      <c r="U17" s="471"/>
      <c r="V17" s="471"/>
    </row>
    <row r="18" spans="1:23" s="244" customFormat="1" ht="15.75" thickBot="1" x14ac:dyDescent="0.3">
      <c r="C18" s="470"/>
      <c r="D18" s="471"/>
      <c r="E18" s="471"/>
      <c r="F18" s="471"/>
      <c r="G18" s="481"/>
      <c r="H18" s="482"/>
      <c r="I18" s="482"/>
      <c r="J18" s="482"/>
      <c r="K18" s="482"/>
      <c r="L18" s="482"/>
      <c r="M18" s="482"/>
      <c r="N18" s="483"/>
      <c r="S18" s="471"/>
      <c r="T18" s="471"/>
      <c r="U18" s="471"/>
      <c r="V18" s="471"/>
    </row>
    <row r="19" spans="1:23" s="244" customFormat="1" x14ac:dyDescent="0.25">
      <c r="C19" s="470"/>
      <c r="D19" s="471"/>
      <c r="E19" s="471"/>
      <c r="F19" s="471"/>
      <c r="G19" s="472" t="s">
        <v>15</v>
      </c>
      <c r="H19" s="473"/>
      <c r="I19" s="473"/>
      <c r="J19" s="473"/>
      <c r="K19" s="473"/>
      <c r="L19" s="473"/>
      <c r="M19" s="473"/>
      <c r="N19" s="474"/>
      <c r="S19" s="471"/>
      <c r="T19" s="471"/>
      <c r="U19" s="471"/>
      <c r="V19" s="471"/>
    </row>
    <row r="20" spans="1:23" s="244" customFormat="1" ht="15.75" thickBot="1" x14ac:dyDescent="0.3">
      <c r="C20" s="470"/>
      <c r="D20" s="471"/>
      <c r="E20" s="471"/>
      <c r="F20" s="471"/>
      <c r="G20" s="481"/>
      <c r="H20" s="482"/>
      <c r="I20" s="482"/>
      <c r="J20" s="482"/>
      <c r="K20" s="482"/>
      <c r="L20" s="482"/>
      <c r="M20" s="482"/>
      <c r="N20" s="483"/>
      <c r="S20" s="471"/>
      <c r="T20" s="471"/>
      <c r="U20" s="471"/>
      <c r="V20" s="471"/>
    </row>
    <row r="21" spans="1:23" s="244" customFormat="1" x14ac:dyDescent="0.25">
      <c r="C21" s="470"/>
      <c r="D21" s="471"/>
      <c r="E21" s="471"/>
      <c r="F21" s="471"/>
      <c r="G21" s="472" t="s">
        <v>12</v>
      </c>
      <c r="H21" s="473"/>
      <c r="I21" s="473"/>
      <c r="J21" s="473"/>
      <c r="K21" s="473"/>
      <c r="L21" s="473"/>
      <c r="M21" s="473"/>
      <c r="N21" s="474"/>
      <c r="S21" s="471"/>
      <c r="T21" s="471"/>
      <c r="U21" s="471"/>
      <c r="V21" s="471"/>
    </row>
    <row r="22" spans="1:23" s="244" customFormat="1" x14ac:dyDescent="0.25">
      <c r="C22" s="470"/>
      <c r="D22" s="471"/>
      <c r="E22" s="471"/>
      <c r="F22" s="471"/>
      <c r="G22" s="475"/>
      <c r="H22" s="476"/>
      <c r="I22" s="476"/>
      <c r="J22" s="476"/>
      <c r="K22" s="476"/>
      <c r="L22" s="476"/>
      <c r="M22" s="476"/>
      <c r="N22" s="477"/>
      <c r="S22" s="471"/>
      <c r="T22" s="471"/>
      <c r="U22" s="471"/>
      <c r="V22" s="471"/>
    </row>
    <row r="23" spans="1:23" s="244" customFormat="1" x14ac:dyDescent="0.25">
      <c r="C23" s="470"/>
      <c r="D23" s="471"/>
      <c r="E23" s="471"/>
      <c r="F23" s="471"/>
      <c r="G23" s="475"/>
      <c r="H23" s="476"/>
      <c r="I23" s="476"/>
      <c r="J23" s="476"/>
      <c r="K23" s="476"/>
      <c r="L23" s="476"/>
      <c r="M23" s="476"/>
      <c r="N23" s="477"/>
      <c r="S23" s="471"/>
      <c r="T23" s="471"/>
      <c r="U23" s="471"/>
      <c r="V23" s="471"/>
    </row>
    <row r="24" spans="1:23" s="257" customFormat="1" ht="15.75" x14ac:dyDescent="0.2">
      <c r="A24" s="330"/>
      <c r="B24" s="330"/>
      <c r="C24" s="223" t="s">
        <v>6</v>
      </c>
      <c r="D24" s="301" t="s">
        <v>85</v>
      </c>
      <c r="E24" s="301" t="s">
        <v>73</v>
      </c>
      <c r="F24" s="221" t="s">
        <v>72</v>
      </c>
      <c r="G24" s="221" t="s">
        <v>184</v>
      </c>
      <c r="H24" s="221" t="s">
        <v>72</v>
      </c>
      <c r="I24" s="221" t="s">
        <v>185</v>
      </c>
      <c r="J24" s="221" t="s">
        <v>183</v>
      </c>
      <c r="K24" s="221" t="s">
        <v>211</v>
      </c>
      <c r="L24" s="221" t="s">
        <v>210</v>
      </c>
      <c r="M24" s="221" t="s">
        <v>186</v>
      </c>
      <c r="N24" s="224" t="s">
        <v>4</v>
      </c>
      <c r="O24" s="244"/>
      <c r="P24" s="331"/>
      <c r="R24" s="285"/>
      <c r="S24" s="471"/>
      <c r="T24" s="471"/>
      <c r="U24" s="471"/>
      <c r="V24" s="471"/>
      <c r="W24" s="285"/>
    </row>
    <row r="25" spans="1:23" s="257" customFormat="1" ht="15.75" x14ac:dyDescent="0.2">
      <c r="A25" s="330"/>
      <c r="B25" s="330"/>
      <c r="C25" s="478" t="str">
        <f>'Planila Orçamentária'!B13</f>
        <v>REFORMA DA SALA DE REUNIÃO DA SESAPI</v>
      </c>
      <c r="D25" s="479"/>
      <c r="E25" s="479"/>
      <c r="F25" s="479"/>
      <c r="G25" s="479"/>
      <c r="H25" s="479"/>
      <c r="I25" s="479"/>
      <c r="J25" s="479"/>
      <c r="K25" s="479"/>
      <c r="L25" s="479"/>
      <c r="M25" s="479"/>
      <c r="N25" s="480"/>
      <c r="O25" s="244"/>
      <c r="P25" s="331"/>
      <c r="R25" s="285"/>
      <c r="W25" s="285"/>
    </row>
    <row r="26" spans="1:23" s="257" customFormat="1" ht="15.75" x14ac:dyDescent="0.2">
      <c r="A26" s="330"/>
      <c r="B26" s="330"/>
      <c r="C26" s="271" t="str">
        <f>'Planila Orçamentária'!C14</f>
        <v>SERVIÇOSA PRELIMINARES</v>
      </c>
      <c r="D26" s="272"/>
      <c r="E26" s="301"/>
      <c r="F26" s="221"/>
      <c r="G26" s="221"/>
      <c r="H26" s="221"/>
      <c r="I26" s="221"/>
      <c r="J26" s="221"/>
      <c r="K26" s="221"/>
      <c r="L26" s="221"/>
      <c r="M26" s="221"/>
      <c r="N26" s="224"/>
      <c r="O26" s="244"/>
    </row>
    <row r="27" spans="1:23" s="257" customFormat="1" x14ac:dyDescent="0.2">
      <c r="A27" s="330"/>
      <c r="B27" s="330"/>
      <c r="C27" s="342" t="str">
        <f>'Planila Orçamentária'!C15</f>
        <v>DESMONTAGEM DE DIVIÓRIA DE VIDRO</v>
      </c>
      <c r="D27" s="332" t="s">
        <v>91</v>
      </c>
      <c r="E27" s="333"/>
      <c r="F27" s="334"/>
      <c r="G27" s="334"/>
      <c r="H27" s="334"/>
      <c r="I27" s="334"/>
      <c r="J27" s="334"/>
      <c r="K27" s="334"/>
      <c r="L27" s="334"/>
      <c r="M27" s="335"/>
      <c r="N27" s="343"/>
      <c r="O27" s="244"/>
      <c r="R27" s="285"/>
      <c r="S27" s="285"/>
      <c r="T27" s="285"/>
      <c r="U27" s="285"/>
      <c r="V27" s="285"/>
      <c r="W27" s="285"/>
    </row>
    <row r="28" spans="1:23" s="257" customFormat="1" x14ac:dyDescent="0.2">
      <c r="A28" s="330"/>
      <c r="B28" s="330"/>
      <c r="C28" s="264"/>
      <c r="D28" s="265"/>
      <c r="E28" s="266" t="s">
        <v>320</v>
      </c>
      <c r="F28" s="267"/>
      <c r="G28" s="267"/>
      <c r="H28" s="267"/>
      <c r="I28" s="267"/>
      <c r="J28" s="267"/>
      <c r="K28" s="267">
        <f>7.25*2.8</f>
        <v>20.299999999999997</v>
      </c>
      <c r="L28" s="267"/>
      <c r="M28" s="268"/>
      <c r="N28" s="270">
        <f>K28</f>
        <v>20.299999999999997</v>
      </c>
      <c r="O28" s="244"/>
      <c r="R28" s="285"/>
      <c r="S28" s="285"/>
      <c r="T28" s="285"/>
      <c r="U28" s="285"/>
      <c r="V28" s="285"/>
      <c r="W28" s="285"/>
    </row>
    <row r="29" spans="1:23" s="257" customFormat="1" ht="15.75" x14ac:dyDescent="0.2">
      <c r="A29" s="330"/>
      <c r="B29" s="330"/>
      <c r="C29" s="344"/>
      <c r="D29" s="336"/>
      <c r="E29" s="337"/>
      <c r="F29" s="338"/>
      <c r="G29" s="338"/>
      <c r="H29" s="338"/>
      <c r="I29" s="338"/>
      <c r="J29" s="338"/>
      <c r="K29" s="338"/>
      <c r="L29" s="338"/>
      <c r="M29" s="339"/>
      <c r="N29" s="345">
        <f>SUM(N28)</f>
        <v>20.299999999999997</v>
      </c>
      <c r="O29" s="244"/>
      <c r="R29" s="285"/>
      <c r="S29" s="285"/>
      <c r="T29" s="285"/>
      <c r="U29" s="285"/>
      <c r="V29" s="285"/>
      <c r="W29" s="285"/>
    </row>
    <row r="30" spans="1:23" s="257" customFormat="1" ht="15.75" x14ac:dyDescent="0.2">
      <c r="A30" s="330"/>
      <c r="B30" s="330"/>
      <c r="C30" s="271" t="str">
        <f>'Planila Orçamentária'!C16</f>
        <v>DIVISÓRIAS</v>
      </c>
      <c r="D30" s="301"/>
      <c r="E30" s="301"/>
      <c r="F30" s="221"/>
      <c r="G30" s="221"/>
      <c r="H30" s="221"/>
      <c r="I30" s="221"/>
      <c r="J30" s="221"/>
      <c r="K30" s="221"/>
      <c r="L30" s="221"/>
      <c r="M30" s="221"/>
      <c r="N30" s="224"/>
      <c r="O30" s="244"/>
    </row>
    <row r="31" spans="1:23" s="257" customFormat="1" x14ac:dyDescent="0.2">
      <c r="C31" s="346" t="str">
        <f>'Planila Orçamentária'!C17</f>
        <v>REMONTAGEM DE DIVISÓRIA DE VIDRO</v>
      </c>
      <c r="D31" s="303" t="s">
        <v>91</v>
      </c>
      <c r="E31" s="340"/>
      <c r="F31" s="340"/>
      <c r="G31" s="340"/>
      <c r="H31" s="340"/>
      <c r="I31" s="340"/>
      <c r="J31" s="340"/>
      <c r="K31" s="340"/>
      <c r="L31" s="340"/>
      <c r="M31" s="334"/>
      <c r="N31" s="347"/>
      <c r="O31" s="244"/>
    </row>
    <row r="32" spans="1:23" s="257" customFormat="1" x14ac:dyDescent="0.2">
      <c r="C32" s="286"/>
      <c r="D32" s="304"/>
      <c r="E32" s="285" t="s">
        <v>321</v>
      </c>
      <c r="F32" s="267">
        <v>2.85</v>
      </c>
      <c r="G32" s="267"/>
      <c r="H32" s="267"/>
      <c r="I32" s="267"/>
      <c r="J32" s="267"/>
      <c r="K32" s="267">
        <f>5.2*2.2</f>
        <v>11.440000000000001</v>
      </c>
      <c r="L32" s="267"/>
      <c r="M32" s="267"/>
      <c r="N32" s="270">
        <f>K32</f>
        <v>11.440000000000001</v>
      </c>
      <c r="O32" s="244"/>
    </row>
    <row r="33" spans="1:15" s="257" customFormat="1" ht="15.75" x14ac:dyDescent="0.2">
      <c r="C33" s="348"/>
      <c r="D33" s="305"/>
      <c r="E33" s="341"/>
      <c r="F33" s="341"/>
      <c r="G33" s="341"/>
      <c r="H33" s="341"/>
      <c r="I33" s="341"/>
      <c r="J33" s="341"/>
      <c r="K33" s="341"/>
      <c r="L33" s="341"/>
      <c r="M33" s="338"/>
      <c r="N33" s="345">
        <f>SUM(N32:N32)</f>
        <v>11.440000000000001</v>
      </c>
      <c r="O33" s="244"/>
    </row>
    <row r="34" spans="1:15" s="257" customFormat="1" ht="45" x14ac:dyDescent="0.2">
      <c r="C34" s="346" t="str">
        <f>'Planila Orçamentária'!C18</f>
        <v>DIVISÓRIA DIVILUX (PAINEL COM VIDRO), E=40MM, COM PERFIS EM ALUMÍNIO OU SIMILAR - FORNECIMENTO</v>
      </c>
      <c r="D34" s="303" t="s">
        <v>91</v>
      </c>
      <c r="E34" s="340"/>
      <c r="F34" s="340"/>
      <c r="G34" s="340"/>
      <c r="H34" s="340"/>
      <c r="I34" s="340"/>
      <c r="J34" s="340"/>
      <c r="K34" s="340"/>
      <c r="L34" s="340"/>
      <c r="M34" s="334"/>
      <c r="N34" s="347"/>
      <c r="O34" s="244"/>
    </row>
    <row r="35" spans="1:15" s="257" customFormat="1" x14ac:dyDescent="0.2">
      <c r="C35" s="286"/>
      <c r="D35" s="304"/>
      <c r="E35" s="285" t="s">
        <v>321</v>
      </c>
      <c r="F35" s="267">
        <v>4.3499999999999996</v>
      </c>
      <c r="G35" s="267"/>
      <c r="H35" s="285"/>
      <c r="I35" s="267"/>
      <c r="J35" s="267"/>
      <c r="K35" s="267">
        <f>(4.94*2.8)+(7.25*2.8)</f>
        <v>34.131999999999998</v>
      </c>
      <c r="L35" s="267"/>
      <c r="M35" s="267"/>
      <c r="N35" s="270">
        <f>K35</f>
        <v>34.131999999999998</v>
      </c>
      <c r="O35" s="244"/>
    </row>
    <row r="36" spans="1:15" s="257" customFormat="1" ht="15.75" x14ac:dyDescent="0.2">
      <c r="C36" s="348"/>
      <c r="D36" s="305"/>
      <c r="E36" s="337"/>
      <c r="F36" s="338">
        <v>2.74</v>
      </c>
      <c r="G36" s="338"/>
      <c r="H36" s="341"/>
      <c r="I36" s="338"/>
      <c r="J36" s="338"/>
      <c r="K36" s="338"/>
      <c r="L36" s="338"/>
      <c r="M36" s="338"/>
      <c r="N36" s="345">
        <f>SUM(N35:N35)</f>
        <v>34.131999999999998</v>
      </c>
      <c r="O36" s="244"/>
    </row>
    <row r="37" spans="1:15" s="257" customFormat="1" x14ac:dyDescent="0.2">
      <c r="C37" s="273" t="str">
        <f>'Planila Orçamentária'!C19</f>
        <v>PORTA PARA DIVISÓRIA NAVAL 80X210</v>
      </c>
      <c r="D37" s="304" t="s">
        <v>85</v>
      </c>
      <c r="E37" s="285"/>
      <c r="F37" s="285"/>
      <c r="G37" s="285"/>
      <c r="H37" s="285"/>
      <c r="I37" s="285"/>
      <c r="J37" s="285"/>
      <c r="K37" s="285"/>
      <c r="L37" s="285"/>
      <c r="M37" s="267"/>
      <c r="N37" s="287"/>
      <c r="O37" s="244"/>
    </row>
    <row r="38" spans="1:15" s="257" customFormat="1" x14ac:dyDescent="0.2">
      <c r="C38" s="286"/>
      <c r="D38" s="304"/>
      <c r="E38" s="285" t="s">
        <v>321</v>
      </c>
      <c r="F38" s="267">
        <v>1.35</v>
      </c>
      <c r="G38" s="267"/>
      <c r="H38" s="285"/>
      <c r="I38" s="267"/>
      <c r="J38" s="267"/>
      <c r="K38" s="267"/>
      <c r="L38" s="267"/>
      <c r="M38" s="267">
        <v>2</v>
      </c>
      <c r="N38" s="270">
        <f>M38</f>
        <v>2</v>
      </c>
      <c r="O38" s="244"/>
    </row>
    <row r="39" spans="1:15" s="257" customFormat="1" ht="15.75" x14ac:dyDescent="0.2">
      <c r="C39" s="286"/>
      <c r="D39" s="304"/>
      <c r="E39" s="266"/>
      <c r="F39" s="267">
        <v>1.35</v>
      </c>
      <c r="G39" s="267"/>
      <c r="H39" s="285"/>
      <c r="I39" s="267"/>
      <c r="J39" s="267"/>
      <c r="K39" s="267"/>
      <c r="L39" s="267"/>
      <c r="M39" s="267"/>
      <c r="N39" s="269">
        <f>SUM(N38:N38)</f>
        <v>2</v>
      </c>
      <c r="O39" s="244"/>
    </row>
    <row r="40" spans="1:15" s="257" customFormat="1" ht="15.75" x14ac:dyDescent="0.2">
      <c r="A40" s="330"/>
      <c r="B40" s="330"/>
      <c r="C40" s="271" t="str">
        <f>'Planila Orçamentária'!C20</f>
        <v>INSTALAÇÕES ELÉTRICAS E LÓGICA</v>
      </c>
      <c r="D40" s="307"/>
      <c r="E40" s="307"/>
      <c r="F40" s="221"/>
      <c r="G40" s="221"/>
      <c r="H40" s="221"/>
      <c r="I40" s="221"/>
      <c r="J40" s="221"/>
      <c r="K40" s="221"/>
      <c r="L40" s="221"/>
      <c r="M40" s="221"/>
      <c r="N40" s="224"/>
      <c r="O40" s="244"/>
    </row>
    <row r="41" spans="1:15" s="257" customFormat="1" ht="75" x14ac:dyDescent="0.2">
      <c r="C41" s="349" t="str">
        <f>'Planila Orçamentária'!C21</f>
        <v>PONTO DE TOMADA RESIDENCIAL INCLUINDO TOMADA 20A/250V, CAIXA ELÉTRICA, ELETRODUTO, CABO, RASGO, QUEBRA E CHUMBAMENTO ( AR CONDICIONADO TIPO SPLIT)</v>
      </c>
      <c r="D41" s="303" t="s">
        <v>85</v>
      </c>
      <c r="E41" s="340"/>
      <c r="F41" s="334"/>
      <c r="G41" s="334"/>
      <c r="H41" s="340"/>
      <c r="I41" s="334"/>
      <c r="J41" s="334"/>
      <c r="K41" s="334"/>
      <c r="L41" s="334"/>
      <c r="M41" s="334"/>
      <c r="N41" s="350"/>
      <c r="O41" s="244"/>
    </row>
    <row r="42" spans="1:15" s="257" customFormat="1" x14ac:dyDescent="0.2">
      <c r="C42" s="286"/>
      <c r="D42" s="304"/>
      <c r="E42" s="285" t="s">
        <v>321</v>
      </c>
      <c r="F42" s="267"/>
      <c r="G42" s="267"/>
      <c r="H42" s="285"/>
      <c r="I42" s="267"/>
      <c r="J42" s="267"/>
      <c r="K42" s="267"/>
      <c r="L42" s="267"/>
      <c r="M42" s="267">
        <v>1</v>
      </c>
      <c r="N42" s="270">
        <f>M42</f>
        <v>1</v>
      </c>
      <c r="O42" s="244"/>
    </row>
    <row r="43" spans="1:15" s="257" customFormat="1" ht="15.75" x14ac:dyDescent="0.2">
      <c r="A43" s="330"/>
      <c r="B43" s="330"/>
      <c r="C43" s="271" t="str">
        <f>'Planila Orçamentária'!C22</f>
        <v>INSTALAÇÕES HIDRAÚLICAS</v>
      </c>
      <c r="D43" s="307"/>
      <c r="E43" s="307"/>
      <c r="F43" s="221"/>
      <c r="G43" s="221"/>
      <c r="H43" s="221"/>
      <c r="I43" s="221"/>
      <c r="J43" s="221"/>
      <c r="K43" s="221"/>
      <c r="L43" s="221"/>
      <c r="M43" s="221"/>
      <c r="N43" s="224"/>
      <c r="O43" s="244"/>
    </row>
    <row r="44" spans="1:15" s="257" customFormat="1" ht="15.75" x14ac:dyDescent="0.2">
      <c r="C44" s="286"/>
      <c r="D44" s="306"/>
      <c r="E44" s="285"/>
      <c r="F44" s="267"/>
      <c r="G44" s="267"/>
      <c r="H44" s="285"/>
      <c r="I44" s="267"/>
      <c r="J44" s="267"/>
      <c r="K44" s="267"/>
      <c r="L44" s="267"/>
      <c r="M44" s="267"/>
      <c r="N44" s="269"/>
      <c r="O44" s="244"/>
    </row>
    <row r="45" spans="1:15" s="257" customFormat="1" ht="45" x14ac:dyDescent="0.2">
      <c r="C45" s="273" t="str">
        <f>'Planila Orçamentária'!C23</f>
        <v>TUBO, PVC, SOLDÁVEL, DN 25MM, INSTALADO EM DRENO DE AR-CONDICIONADO</v>
      </c>
      <c r="D45" s="304" t="s">
        <v>64</v>
      </c>
      <c r="E45" s="285"/>
      <c r="F45" s="267"/>
      <c r="G45" s="267"/>
      <c r="H45" s="267">
        <v>3.2</v>
      </c>
      <c r="I45" s="267"/>
      <c r="J45" s="267"/>
      <c r="K45" s="267"/>
      <c r="L45" s="267"/>
      <c r="M45" s="267"/>
      <c r="N45" s="270">
        <f>H45</f>
        <v>3.2</v>
      </c>
      <c r="O45" s="244"/>
    </row>
    <row r="46" spans="1:15" s="257" customFormat="1" ht="15.75" x14ac:dyDescent="0.2">
      <c r="C46" s="286"/>
      <c r="D46" s="304"/>
      <c r="E46" s="285"/>
      <c r="F46" s="267"/>
      <c r="G46" s="267"/>
      <c r="H46" s="285"/>
      <c r="I46" s="267"/>
      <c r="J46" s="267"/>
      <c r="K46" s="267"/>
      <c r="L46" s="267"/>
      <c r="M46" s="267"/>
      <c r="N46" s="269">
        <f>SUM(N45)</f>
        <v>3.2</v>
      </c>
      <c r="O46" s="244"/>
    </row>
    <row r="47" spans="1:15" s="257" customFormat="1" ht="15.75" x14ac:dyDescent="0.2">
      <c r="A47" s="330"/>
      <c r="B47" s="330"/>
      <c r="C47" s="271" t="str">
        <f>'Planila Orçamentária'!C24</f>
        <v>DIVERSOS</v>
      </c>
      <c r="D47" s="307"/>
      <c r="E47" s="307"/>
      <c r="F47" s="221"/>
      <c r="G47" s="221"/>
      <c r="H47" s="221"/>
      <c r="I47" s="221"/>
      <c r="J47" s="221"/>
      <c r="K47" s="221"/>
      <c r="L47" s="221"/>
      <c r="M47" s="221"/>
      <c r="N47" s="224"/>
      <c r="O47" s="244"/>
    </row>
    <row r="48" spans="1:15" s="257" customFormat="1" x14ac:dyDescent="0.2">
      <c r="C48" s="346" t="str">
        <f>'Planila Orçamentária'!C25</f>
        <v>LIMPEZA FINAL DA OBRA</v>
      </c>
      <c r="D48" s="303" t="s">
        <v>91</v>
      </c>
      <c r="E48" s="340"/>
      <c r="F48" s="340"/>
      <c r="G48" s="340"/>
      <c r="H48" s="340"/>
      <c r="I48" s="340"/>
      <c r="J48" s="340"/>
      <c r="K48" s="340"/>
      <c r="L48" s="340"/>
      <c r="M48" s="334"/>
      <c r="N48" s="347"/>
      <c r="O48" s="244"/>
    </row>
    <row r="49" spans="1:23" s="257" customFormat="1" x14ac:dyDescent="0.2">
      <c r="C49" s="286"/>
      <c r="D49" s="304"/>
      <c r="E49" s="266" t="s">
        <v>304</v>
      </c>
      <c r="F49" s="267"/>
      <c r="G49" s="267"/>
      <c r="H49" s="267"/>
      <c r="I49" s="267"/>
      <c r="J49" s="267"/>
      <c r="K49" s="285">
        <f>13+20.07+35.35</f>
        <v>68.42</v>
      </c>
      <c r="L49" s="267"/>
      <c r="M49" s="267"/>
      <c r="N49" s="270">
        <f>K49</f>
        <v>68.42</v>
      </c>
      <c r="O49" s="244"/>
    </row>
    <row r="50" spans="1:23" s="257" customFormat="1" x14ac:dyDescent="0.2">
      <c r="C50" s="286"/>
      <c r="D50" s="304"/>
      <c r="E50" s="266"/>
      <c r="F50" s="267"/>
      <c r="G50" s="267"/>
      <c r="H50" s="267"/>
      <c r="I50" s="267"/>
      <c r="J50" s="267"/>
      <c r="K50" s="267"/>
      <c r="L50" s="267"/>
      <c r="M50" s="267"/>
      <c r="N50" s="270"/>
      <c r="O50" s="244"/>
    </row>
    <row r="51" spans="1:23" s="257" customFormat="1" ht="15.75" x14ac:dyDescent="0.2">
      <c r="C51" s="286"/>
      <c r="D51" s="285"/>
      <c r="E51" s="285"/>
      <c r="F51" s="285"/>
      <c r="G51" s="285"/>
      <c r="H51" s="285"/>
      <c r="I51" s="285"/>
      <c r="J51" s="285"/>
      <c r="K51" s="285"/>
      <c r="L51" s="285"/>
      <c r="M51" s="267"/>
      <c r="N51" s="269">
        <f>SUM(N49:N50)</f>
        <v>68.42</v>
      </c>
      <c r="O51" s="244"/>
    </row>
    <row r="52" spans="1:23" s="257" customFormat="1" ht="15.75" thickBot="1" x14ac:dyDescent="0.25">
      <c r="C52" s="288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90"/>
      <c r="O52" s="244"/>
    </row>
    <row r="53" spans="1:23" s="257" customFormat="1" ht="15.75" x14ac:dyDescent="0.2">
      <c r="A53" s="330"/>
      <c r="B53" s="330"/>
      <c r="C53" s="478" t="str">
        <f>'Planila Orçamentária'!B28</f>
        <v>REFORMA DA SALA DE TOMADA DE CONTAS ESPECIAIS DA SESAPI</v>
      </c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80"/>
      <c r="O53" s="244"/>
      <c r="P53" s="331"/>
      <c r="R53" s="285"/>
      <c r="W53" s="285"/>
    </row>
    <row r="54" spans="1:23" s="257" customFormat="1" ht="15.75" x14ac:dyDescent="0.2">
      <c r="A54" s="330"/>
      <c r="B54" s="330"/>
      <c r="C54" s="271" t="str">
        <f>'Planila Orçamentária'!C29</f>
        <v>DIVISÓRIAS</v>
      </c>
      <c r="D54" s="367"/>
      <c r="E54" s="367"/>
      <c r="F54" s="221"/>
      <c r="G54" s="221"/>
      <c r="H54" s="221"/>
      <c r="I54" s="221"/>
      <c r="J54" s="221"/>
      <c r="K54" s="221"/>
      <c r="L54" s="221"/>
      <c r="M54" s="221"/>
      <c r="N54" s="224"/>
      <c r="O54" s="244"/>
    </row>
    <row r="55" spans="1:23" s="257" customFormat="1" ht="45" x14ac:dyDescent="0.25">
      <c r="C55" s="346" t="str">
        <f>'Planila Orçamentária'!C30</f>
        <v>DIVISÓRIA DIVILUX (PAINEL COM VIDRO), E=40MM, COM PERFIS EM ALUMÍNIO OU SIMILAR - FORNECIMENTO</v>
      </c>
      <c r="D55" s="364" t="s">
        <v>91</v>
      </c>
      <c r="E55" s="340"/>
      <c r="F55" s="340"/>
      <c r="G55" s="340"/>
      <c r="H55" s="340"/>
      <c r="I55" s="340"/>
      <c r="J55" s="340"/>
      <c r="K55" s="340"/>
      <c r="L55" s="340"/>
      <c r="M55" s="334"/>
      <c r="N55" s="382">
        <f>SUM(N56:N60)</f>
        <v>54.209999999999994</v>
      </c>
      <c r="O55" s="244"/>
    </row>
    <row r="56" spans="1:23" s="257" customFormat="1" x14ac:dyDescent="0.2">
      <c r="C56" s="286"/>
      <c r="D56" s="365"/>
      <c r="E56" s="285" t="s">
        <v>361</v>
      </c>
      <c r="F56" s="267">
        <v>4.3499999999999996</v>
      </c>
      <c r="G56" s="267"/>
      <c r="H56" s="285">
        <v>5.6</v>
      </c>
      <c r="I56" s="267">
        <v>3</v>
      </c>
      <c r="J56" s="267"/>
      <c r="K56" s="267">
        <f>H56*I56</f>
        <v>16.799999999999997</v>
      </c>
      <c r="L56" s="267"/>
      <c r="M56" s="267"/>
      <c r="N56" s="270">
        <f>K56</f>
        <v>16.799999999999997</v>
      </c>
      <c r="O56" s="244"/>
    </row>
    <row r="57" spans="1:23" s="257" customFormat="1" x14ac:dyDescent="0.2">
      <c r="C57" s="286"/>
      <c r="D57" s="365"/>
      <c r="E57" s="285" t="s">
        <v>362</v>
      </c>
      <c r="F57" s="267"/>
      <c r="G57" s="267"/>
      <c r="H57" s="285">
        <v>0.8</v>
      </c>
      <c r="I57" s="267">
        <v>3</v>
      </c>
      <c r="J57" s="267"/>
      <c r="K57" s="267">
        <f t="shared" ref="K57:K60" si="0">H57*I57</f>
        <v>2.4000000000000004</v>
      </c>
      <c r="L57" s="267"/>
      <c r="M57" s="267"/>
      <c r="N57" s="270">
        <f t="shared" ref="N57:N60" si="1">K57</f>
        <v>2.4000000000000004</v>
      </c>
      <c r="O57" s="244"/>
    </row>
    <row r="58" spans="1:23" s="257" customFormat="1" x14ac:dyDescent="0.2">
      <c r="C58" s="286"/>
      <c r="D58" s="365"/>
      <c r="E58" s="285" t="s">
        <v>363</v>
      </c>
      <c r="F58" s="267"/>
      <c r="G58" s="267"/>
      <c r="H58" s="285">
        <v>4.8</v>
      </c>
      <c r="I58" s="267">
        <v>3</v>
      </c>
      <c r="J58" s="267"/>
      <c r="K58" s="267">
        <f t="shared" si="0"/>
        <v>14.399999999999999</v>
      </c>
      <c r="L58" s="267"/>
      <c r="M58" s="267"/>
      <c r="N58" s="270">
        <f t="shared" si="1"/>
        <v>14.399999999999999</v>
      </c>
      <c r="O58" s="244"/>
    </row>
    <row r="59" spans="1:23" s="257" customFormat="1" x14ac:dyDescent="0.2">
      <c r="C59" s="286"/>
      <c r="D59" s="365"/>
      <c r="E59" s="285" t="s">
        <v>364</v>
      </c>
      <c r="F59" s="267"/>
      <c r="G59" s="267"/>
      <c r="H59" s="285">
        <v>4.7</v>
      </c>
      <c r="I59" s="267">
        <v>3</v>
      </c>
      <c r="J59" s="267"/>
      <c r="K59" s="267">
        <f t="shared" si="0"/>
        <v>14.100000000000001</v>
      </c>
      <c r="L59" s="267"/>
      <c r="M59" s="267"/>
      <c r="N59" s="270">
        <f t="shared" si="1"/>
        <v>14.100000000000001</v>
      </c>
      <c r="O59" s="244"/>
    </row>
    <row r="60" spans="1:23" s="257" customFormat="1" x14ac:dyDescent="0.2">
      <c r="C60" s="286"/>
      <c r="D60" s="368"/>
      <c r="E60" s="285" t="s">
        <v>373</v>
      </c>
      <c r="F60" s="267"/>
      <c r="G60" s="267"/>
      <c r="H60" s="285">
        <v>3.1</v>
      </c>
      <c r="I60" s="267">
        <v>2.1</v>
      </c>
      <c r="J60" s="267"/>
      <c r="K60" s="267">
        <f t="shared" si="0"/>
        <v>6.5100000000000007</v>
      </c>
      <c r="L60" s="267"/>
      <c r="M60" s="267"/>
      <c r="N60" s="270">
        <f t="shared" si="1"/>
        <v>6.5100000000000007</v>
      </c>
      <c r="O60" s="244"/>
    </row>
    <row r="61" spans="1:23" s="257" customFormat="1" ht="15.75" x14ac:dyDescent="0.2">
      <c r="C61" s="348"/>
      <c r="D61" s="366"/>
      <c r="E61" s="337"/>
      <c r="F61" s="338">
        <v>2.74</v>
      </c>
      <c r="G61" s="338"/>
      <c r="H61" s="341"/>
      <c r="I61" s="338"/>
      <c r="J61" s="338"/>
      <c r="K61" s="338"/>
      <c r="L61" s="338"/>
      <c r="M61" s="338"/>
      <c r="N61" s="345"/>
      <c r="O61" s="244"/>
    </row>
    <row r="62" spans="1:23" s="257" customFormat="1" ht="15.75" x14ac:dyDescent="0.25">
      <c r="C62" s="273" t="str">
        <f>'Planila Orçamentária'!C31</f>
        <v>PORTA PARA DIVISÓRIA NAVAL 80X210</v>
      </c>
      <c r="D62" s="365" t="s">
        <v>85</v>
      </c>
      <c r="E62" s="285"/>
      <c r="F62" s="285"/>
      <c r="G62" s="285"/>
      <c r="H62" s="285"/>
      <c r="I62" s="285"/>
      <c r="J62" s="285"/>
      <c r="K62" s="285"/>
      <c r="L62" s="285"/>
      <c r="M62" s="267"/>
      <c r="N62" s="382">
        <f>SUM(N63)</f>
        <v>4</v>
      </c>
      <c r="O62" s="244"/>
    </row>
    <row r="63" spans="1:23" s="257" customFormat="1" x14ac:dyDescent="0.2">
      <c r="C63" s="286"/>
      <c r="D63" s="365"/>
      <c r="E63" s="285" t="s">
        <v>321</v>
      </c>
      <c r="F63" s="267">
        <v>1.35</v>
      </c>
      <c r="G63" s="267"/>
      <c r="H63" s="285"/>
      <c r="I63" s="267"/>
      <c r="J63" s="267"/>
      <c r="K63" s="267"/>
      <c r="L63" s="267"/>
      <c r="M63" s="267">
        <v>4</v>
      </c>
      <c r="N63" s="270">
        <f>M63</f>
        <v>4</v>
      </c>
      <c r="O63" s="244"/>
    </row>
    <row r="64" spans="1:23" s="257" customFormat="1" ht="15.75" x14ac:dyDescent="0.2">
      <c r="C64" s="286"/>
      <c r="D64" s="365"/>
      <c r="E64" s="266"/>
      <c r="F64" s="267">
        <v>1.35</v>
      </c>
      <c r="G64" s="267"/>
      <c r="H64" s="285"/>
      <c r="I64" s="267"/>
      <c r="J64" s="267"/>
      <c r="K64" s="267"/>
      <c r="L64" s="267"/>
      <c r="M64" s="267"/>
      <c r="N64" s="269"/>
      <c r="O64" s="244"/>
    </row>
    <row r="65" spans="1:15" s="257" customFormat="1" ht="30" x14ac:dyDescent="0.25">
      <c r="C65" s="346" t="str">
        <f>'Planila Orçamentária'!C32</f>
        <v>VIDRO LISO COMUM TRANSPARENTE, ESPESSURA 4MM</v>
      </c>
      <c r="D65" s="364" t="s">
        <v>91</v>
      </c>
      <c r="E65" s="340"/>
      <c r="F65" s="340"/>
      <c r="G65" s="340"/>
      <c r="H65" s="340"/>
      <c r="I65" s="340"/>
      <c r="J65" s="340"/>
      <c r="K65" s="340"/>
      <c r="L65" s="340"/>
      <c r="M65" s="334"/>
      <c r="N65" s="382">
        <f>SUM(N66)</f>
        <v>3.5</v>
      </c>
      <c r="O65" s="244"/>
    </row>
    <row r="66" spans="1:15" s="257" customFormat="1" x14ac:dyDescent="0.2">
      <c r="C66" s="286"/>
      <c r="D66" s="365"/>
      <c r="E66" s="285" t="s">
        <v>321</v>
      </c>
      <c r="F66" s="267">
        <v>1.35</v>
      </c>
      <c r="G66" s="267"/>
      <c r="H66" s="285">
        <v>3.5</v>
      </c>
      <c r="I66" s="267">
        <v>1</v>
      </c>
      <c r="J66" s="267"/>
      <c r="K66" s="267">
        <f>H66*I66</f>
        <v>3.5</v>
      </c>
      <c r="L66" s="267"/>
      <c r="M66" s="267"/>
      <c r="N66" s="270">
        <f>K66</f>
        <v>3.5</v>
      </c>
      <c r="O66" s="244"/>
    </row>
    <row r="67" spans="1:15" s="257" customFormat="1" ht="15.75" x14ac:dyDescent="0.2">
      <c r="C67" s="286"/>
      <c r="D67" s="365"/>
      <c r="E67" s="266"/>
      <c r="F67" s="267">
        <v>1.35</v>
      </c>
      <c r="G67" s="267"/>
      <c r="H67" s="285"/>
      <c r="I67" s="267"/>
      <c r="J67" s="267"/>
      <c r="K67" s="267"/>
      <c r="L67" s="267"/>
      <c r="M67" s="267"/>
      <c r="N67" s="269"/>
      <c r="O67" s="244"/>
    </row>
    <row r="68" spans="1:15" s="257" customFormat="1" ht="15.75" x14ac:dyDescent="0.2">
      <c r="C68" s="286"/>
      <c r="D68" s="365"/>
      <c r="E68" s="266"/>
      <c r="F68" s="267"/>
      <c r="G68" s="267"/>
      <c r="H68" s="285"/>
      <c r="I68" s="267"/>
      <c r="J68" s="267"/>
      <c r="K68" s="267"/>
      <c r="L68" s="267"/>
      <c r="M68" s="267"/>
      <c r="N68" s="269"/>
      <c r="O68" s="244"/>
    </row>
    <row r="69" spans="1:15" s="257" customFormat="1" ht="15.75" x14ac:dyDescent="0.2">
      <c r="C69" s="286"/>
      <c r="D69" s="365"/>
      <c r="E69" s="266"/>
      <c r="F69" s="267"/>
      <c r="G69" s="267"/>
      <c r="H69" s="285"/>
      <c r="I69" s="267"/>
      <c r="J69" s="267"/>
      <c r="K69" s="267"/>
      <c r="L69" s="267"/>
      <c r="M69" s="267"/>
      <c r="N69" s="269"/>
      <c r="O69" s="244"/>
    </row>
    <row r="70" spans="1:15" s="257" customFormat="1" ht="15.75" x14ac:dyDescent="0.2">
      <c r="A70" s="330"/>
      <c r="B70" s="330"/>
      <c r="C70" s="271" t="str">
        <f>'Planila Orçamentária'!C33</f>
        <v>INSTALAÇÕES ELÉTRICAS E LÓGICA</v>
      </c>
      <c r="D70" s="367"/>
      <c r="E70" s="367"/>
      <c r="F70" s="221"/>
      <c r="G70" s="221"/>
      <c r="H70" s="221"/>
      <c r="I70" s="221"/>
      <c r="J70" s="221"/>
      <c r="K70" s="221"/>
      <c r="L70" s="221"/>
      <c r="M70" s="221"/>
      <c r="N70" s="224"/>
      <c r="O70" s="244"/>
    </row>
    <row r="71" spans="1:15" s="257" customFormat="1" ht="60.75" x14ac:dyDescent="0.25">
      <c r="C71" s="349" t="str">
        <f>'Planila Orçamentária'!C34</f>
        <v>CABO DE COBRE FLEXÍVEL ISOLADO, 2,5 MM², ANTI-CHAMA 450/750 V, PARA CIRCUITOS TERMINAIS - FORNECIMENTO E INSTALAÇÃO. AF_12/2015</v>
      </c>
      <c r="D71" s="364" t="s">
        <v>64</v>
      </c>
      <c r="E71" s="340"/>
      <c r="F71" s="334"/>
      <c r="G71" s="334"/>
      <c r="H71" s="340"/>
      <c r="I71" s="334"/>
      <c r="J71" s="334"/>
      <c r="K71" s="334"/>
      <c r="L71" s="334"/>
      <c r="M71" s="334"/>
      <c r="N71" s="382">
        <f>SUM(N72:N73)</f>
        <v>162.60000000000002</v>
      </c>
      <c r="O71" s="244"/>
    </row>
    <row r="72" spans="1:15" s="257" customFormat="1" x14ac:dyDescent="0.2">
      <c r="C72" s="383"/>
      <c r="D72" s="365"/>
      <c r="E72" s="285" t="s">
        <v>365</v>
      </c>
      <c r="F72" s="267"/>
      <c r="G72" s="267"/>
      <c r="H72" s="285">
        <f>2.8+1.4+1.4+2.5+1.5+2.5+1.5+(5*2.7)</f>
        <v>27.1</v>
      </c>
      <c r="I72" s="267"/>
      <c r="J72" s="267"/>
      <c r="K72" s="267"/>
      <c r="L72" s="267"/>
      <c r="M72" s="267">
        <v>3</v>
      </c>
      <c r="N72" s="384">
        <f>H72*M72</f>
        <v>81.300000000000011</v>
      </c>
      <c r="O72" s="244"/>
    </row>
    <row r="73" spans="1:15" s="257" customFormat="1" x14ac:dyDescent="0.2">
      <c r="C73" s="286"/>
      <c r="D73" s="365"/>
      <c r="E73" s="285" t="s">
        <v>366</v>
      </c>
      <c r="F73" s="267"/>
      <c r="G73" s="267"/>
      <c r="H73" s="285">
        <f>2.8+1.4+1.4+2.5+1.5+2.5+1.5+(5*2.7)</f>
        <v>27.1</v>
      </c>
      <c r="I73" s="267"/>
      <c r="J73" s="267"/>
      <c r="K73" s="267"/>
      <c r="L73" s="267"/>
      <c r="M73" s="267">
        <v>3</v>
      </c>
      <c r="N73" s="384">
        <f>H73*M73</f>
        <v>81.300000000000011</v>
      </c>
      <c r="O73" s="244"/>
    </row>
    <row r="74" spans="1:15" s="257" customFormat="1" ht="15.75" x14ac:dyDescent="0.2">
      <c r="C74" s="348"/>
      <c r="D74" s="366"/>
      <c r="E74" s="341"/>
      <c r="F74" s="338"/>
      <c r="G74" s="338"/>
      <c r="H74" s="341"/>
      <c r="I74" s="338"/>
      <c r="J74" s="338"/>
      <c r="K74" s="338"/>
      <c r="L74" s="338"/>
      <c r="M74" s="338"/>
      <c r="N74" s="345"/>
      <c r="O74" s="244"/>
    </row>
    <row r="75" spans="1:15" s="257" customFormat="1" ht="60.75" x14ac:dyDescent="0.25">
      <c r="C75" s="349" t="str">
        <f>'Planila Orçamentária'!C35</f>
        <v>CABO DE COBRE FLEXÍVEL ISOLADO, 4 MM², ANTI-CHAMA 450/750 V, PARA CIRCUITOS TERMINAIS - FORNECIMENTO E INSTALAÇÃO. AF_12/2015</v>
      </c>
      <c r="D75" s="364" t="s">
        <v>64</v>
      </c>
      <c r="E75" s="340"/>
      <c r="F75" s="334"/>
      <c r="G75" s="334"/>
      <c r="H75" s="340"/>
      <c r="I75" s="334"/>
      <c r="J75" s="334"/>
      <c r="K75" s="334"/>
      <c r="L75" s="334"/>
      <c r="M75" s="334"/>
      <c r="N75" s="382">
        <f>SUM(N76)</f>
        <v>32.4</v>
      </c>
      <c r="O75" s="244"/>
    </row>
    <row r="76" spans="1:15" s="257" customFormat="1" x14ac:dyDescent="0.2">
      <c r="C76" s="286"/>
      <c r="D76" s="365"/>
      <c r="E76" s="285" t="s">
        <v>367</v>
      </c>
      <c r="F76" s="267"/>
      <c r="G76" s="267"/>
      <c r="H76" s="285">
        <f>2.8+1.4+1.4+2.5</f>
        <v>8.1</v>
      </c>
      <c r="I76" s="267"/>
      <c r="J76" s="267"/>
      <c r="K76" s="267"/>
      <c r="L76" s="267"/>
      <c r="M76" s="267">
        <v>4</v>
      </c>
      <c r="N76" s="270">
        <f>H76*M76</f>
        <v>32.4</v>
      </c>
      <c r="O76" s="244"/>
    </row>
    <row r="77" spans="1:15" s="257" customFormat="1" ht="15.75" x14ac:dyDescent="0.2">
      <c r="C77" s="348"/>
      <c r="D77" s="366"/>
      <c r="E77" s="341"/>
      <c r="F77" s="338"/>
      <c r="G77" s="338"/>
      <c r="H77" s="341"/>
      <c r="I77" s="338"/>
      <c r="J77" s="338"/>
      <c r="K77" s="338"/>
      <c r="L77" s="338"/>
      <c r="M77" s="338"/>
      <c r="N77" s="345"/>
      <c r="O77" s="244"/>
    </row>
    <row r="78" spans="1:15" s="257" customFormat="1" ht="45.75" x14ac:dyDescent="0.25">
      <c r="C78" s="349" t="str">
        <f>'Planila Orçamentária'!C36</f>
        <v>DISJUNTOR TERMOMAGNETICO MONOPOLAR PADRAO NEMA (AMERICANO) 15A 240V, FORNECIMENTO E INSTALACAO</v>
      </c>
      <c r="D78" s="364" t="s">
        <v>85</v>
      </c>
      <c r="E78" s="340"/>
      <c r="F78" s="334"/>
      <c r="G78" s="334"/>
      <c r="H78" s="340"/>
      <c r="I78" s="334"/>
      <c r="J78" s="334"/>
      <c r="K78" s="334"/>
      <c r="L78" s="334"/>
      <c r="M78" s="334"/>
      <c r="N78" s="382">
        <f>SUM(N79)</f>
        <v>2</v>
      </c>
      <c r="O78" s="244"/>
    </row>
    <row r="79" spans="1:15" s="257" customFormat="1" x14ac:dyDescent="0.2">
      <c r="C79" s="286"/>
      <c r="D79" s="365"/>
      <c r="E79" s="285" t="s">
        <v>368</v>
      </c>
      <c r="F79" s="267"/>
      <c r="G79" s="267"/>
      <c r="H79" s="285"/>
      <c r="I79" s="267"/>
      <c r="J79" s="267"/>
      <c r="K79" s="267"/>
      <c r="L79" s="267"/>
      <c r="M79" s="267">
        <v>2</v>
      </c>
      <c r="N79" s="270">
        <f>M79</f>
        <v>2</v>
      </c>
      <c r="O79" s="244"/>
    </row>
    <row r="80" spans="1:15" s="257" customFormat="1" ht="15.75" x14ac:dyDescent="0.2">
      <c r="C80" s="348"/>
      <c r="D80" s="366"/>
      <c r="E80" s="341"/>
      <c r="F80" s="338"/>
      <c r="G80" s="338"/>
      <c r="H80" s="341"/>
      <c r="I80" s="338"/>
      <c r="J80" s="338"/>
      <c r="K80" s="338"/>
      <c r="L80" s="338"/>
      <c r="M80" s="338"/>
      <c r="N80" s="345"/>
      <c r="O80" s="244"/>
    </row>
    <row r="81" spans="3:15" s="257" customFormat="1" ht="45.75" x14ac:dyDescent="0.25">
      <c r="C81" s="349" t="str">
        <f>'Planila Orçamentária'!C37</f>
        <v>DISJUNTOR TERMOMAGNETICO TRIPOLAR PADRAO NEMA (AMERICANO) 15A 240V, FORNECIMENTO E INSTALACAO</v>
      </c>
      <c r="D81" s="364" t="s">
        <v>85</v>
      </c>
      <c r="E81" s="340"/>
      <c r="F81" s="334"/>
      <c r="G81" s="334"/>
      <c r="H81" s="340"/>
      <c r="I81" s="334"/>
      <c r="J81" s="334"/>
      <c r="K81" s="334"/>
      <c r="L81" s="334"/>
      <c r="M81" s="334"/>
      <c r="N81" s="382">
        <f>SUM(N82)</f>
        <v>2</v>
      </c>
      <c r="O81" s="244"/>
    </row>
    <row r="82" spans="3:15" s="257" customFormat="1" x14ac:dyDescent="0.2">
      <c r="C82" s="286"/>
      <c r="D82" s="365"/>
      <c r="E82" s="285" t="s">
        <v>368</v>
      </c>
      <c r="F82" s="267"/>
      <c r="G82" s="267"/>
      <c r="H82" s="285"/>
      <c r="I82" s="267"/>
      <c r="J82" s="267"/>
      <c r="K82" s="267"/>
      <c r="L82" s="267"/>
      <c r="M82" s="267">
        <v>2</v>
      </c>
      <c r="N82" s="270">
        <f>M82</f>
        <v>2</v>
      </c>
      <c r="O82" s="244"/>
    </row>
    <row r="83" spans="3:15" s="257" customFormat="1" ht="15.75" x14ac:dyDescent="0.2">
      <c r="C83" s="348"/>
      <c r="D83" s="366"/>
      <c r="E83" s="341"/>
      <c r="F83" s="338"/>
      <c r="G83" s="338"/>
      <c r="H83" s="341"/>
      <c r="I83" s="338"/>
      <c r="J83" s="338"/>
      <c r="K83" s="338"/>
      <c r="L83" s="338"/>
      <c r="M83" s="338"/>
      <c r="N83" s="345"/>
      <c r="O83" s="244"/>
    </row>
    <row r="84" spans="3:15" s="257" customFormat="1" ht="60.75" x14ac:dyDescent="0.25">
      <c r="C84" s="383" t="str">
        <f>'Planila Orçamentária'!C38</f>
        <v>QUADRO DE DISTRIBUIÇÃO DE EMBUTIR, COM BARRAMENTO, PARA ATÉ 8 DISJUNTORES PADRÃO EUROPEU (LINHA BRANCA), EXCLUSIVE DISJUNTORES</v>
      </c>
      <c r="D84" s="364" t="s">
        <v>85</v>
      </c>
      <c r="E84" s="340"/>
      <c r="F84" s="267"/>
      <c r="G84" s="267"/>
      <c r="H84" s="285"/>
      <c r="I84" s="267"/>
      <c r="J84" s="267"/>
      <c r="K84" s="267"/>
      <c r="L84" s="267"/>
      <c r="M84" s="267"/>
      <c r="N84" s="382">
        <f>SUM(N85)</f>
        <v>1</v>
      </c>
      <c r="O84" s="244"/>
    </row>
    <row r="85" spans="3:15" s="257" customFormat="1" x14ac:dyDescent="0.2">
      <c r="C85" s="286"/>
      <c r="D85" s="365"/>
      <c r="E85" s="285" t="s">
        <v>368</v>
      </c>
      <c r="F85" s="267"/>
      <c r="G85" s="267"/>
      <c r="H85" s="285"/>
      <c r="I85" s="267"/>
      <c r="J85" s="267"/>
      <c r="K85" s="267"/>
      <c r="L85" s="267"/>
      <c r="M85" s="267">
        <v>1</v>
      </c>
      <c r="N85" s="270">
        <f>M85</f>
        <v>1</v>
      </c>
      <c r="O85" s="244"/>
    </row>
    <row r="86" spans="3:15" s="257" customFormat="1" ht="15.75" x14ac:dyDescent="0.2">
      <c r="C86" s="286"/>
      <c r="D86" s="365"/>
      <c r="E86" s="285"/>
      <c r="F86" s="267"/>
      <c r="G86" s="267"/>
      <c r="H86" s="285"/>
      <c r="I86" s="267"/>
      <c r="J86" s="267"/>
      <c r="K86" s="267"/>
      <c r="L86" s="267"/>
      <c r="M86" s="267"/>
      <c r="N86" s="269"/>
      <c r="O86" s="244"/>
    </row>
    <row r="87" spans="3:15" s="257" customFormat="1" ht="15.75" x14ac:dyDescent="0.2">
      <c r="C87" s="286"/>
      <c r="D87" s="365"/>
      <c r="E87" s="285"/>
      <c r="F87" s="267"/>
      <c r="G87" s="267"/>
      <c r="H87" s="285"/>
      <c r="I87" s="267"/>
      <c r="J87" s="267"/>
      <c r="K87" s="267"/>
      <c r="L87" s="267"/>
      <c r="M87" s="267"/>
      <c r="N87" s="269"/>
      <c r="O87" s="244"/>
    </row>
    <row r="88" spans="3:15" s="257" customFormat="1" ht="75.75" x14ac:dyDescent="0.25">
      <c r="C88" s="349" t="str">
        <f>'Planila Orçamentária'!C39</f>
        <v>PONTO DE ILUMINAÇÃO INCLUINDO INTERRUPTOR SIMPLES (2 MÓDULOS), CAIXA ELÉTRICA, ELETRODUTO, CABO, RASGO, QUEBRA E CHUMBAMENTO (EXCLUINDO LUMINÁRIA E LÂMPADA). AF_01/2016</v>
      </c>
      <c r="D88" s="364" t="s">
        <v>85</v>
      </c>
      <c r="E88" s="340"/>
      <c r="F88" s="334"/>
      <c r="G88" s="334"/>
      <c r="H88" s="340"/>
      <c r="I88" s="334"/>
      <c r="J88" s="334"/>
      <c r="K88" s="334"/>
      <c r="L88" s="334"/>
      <c r="M88" s="334"/>
      <c r="N88" s="382">
        <f>SUM(N89)</f>
        <v>2</v>
      </c>
      <c r="O88" s="244"/>
    </row>
    <row r="89" spans="3:15" s="257" customFormat="1" x14ac:dyDescent="0.2">
      <c r="C89" s="286"/>
      <c r="D89" s="365"/>
      <c r="E89" s="285" t="s">
        <v>368</v>
      </c>
      <c r="F89" s="267"/>
      <c r="G89" s="267"/>
      <c r="H89" s="285"/>
      <c r="I89" s="267"/>
      <c r="J89" s="267"/>
      <c r="K89" s="267"/>
      <c r="L89" s="267"/>
      <c r="M89" s="267">
        <v>2</v>
      </c>
      <c r="N89" s="270">
        <f>M89</f>
        <v>2</v>
      </c>
      <c r="O89" s="244"/>
    </row>
    <row r="90" spans="3:15" s="257" customFormat="1" ht="15.75" x14ac:dyDescent="0.2">
      <c r="C90" s="348"/>
      <c r="D90" s="366"/>
      <c r="E90" s="341"/>
      <c r="F90" s="338"/>
      <c r="G90" s="338"/>
      <c r="H90" s="341"/>
      <c r="I90" s="338"/>
      <c r="J90" s="338"/>
      <c r="K90" s="338"/>
      <c r="L90" s="338"/>
      <c r="M90" s="338"/>
      <c r="N90" s="345"/>
      <c r="O90" s="244"/>
    </row>
    <row r="91" spans="3:15" s="257" customFormat="1" ht="75.75" x14ac:dyDescent="0.25">
      <c r="C91" s="349" t="str">
        <f>'Planila Orçamentária'!C40</f>
        <v>PONTO DE TOMADA RESIDENCIAL INCLUINDO TOMADA 20A/250V, CAIXA ELÉTRICA, ELETRODUTO, CABO, RASGO, QUEBRA E CHUMBAMENTO. AF_01/2016 (AR CONDICIONADO)</v>
      </c>
      <c r="D91" s="364" t="s">
        <v>85</v>
      </c>
      <c r="E91" s="340"/>
      <c r="F91" s="334"/>
      <c r="G91" s="334"/>
      <c r="H91" s="340"/>
      <c r="I91" s="334"/>
      <c r="J91" s="334"/>
      <c r="K91" s="334"/>
      <c r="L91" s="334"/>
      <c r="M91" s="334"/>
      <c r="N91" s="382">
        <f>SUM(N92:N93)</f>
        <v>2</v>
      </c>
      <c r="O91" s="244"/>
    </row>
    <row r="92" spans="3:15" s="257" customFormat="1" x14ac:dyDescent="0.2">
      <c r="C92" s="383"/>
      <c r="D92" s="365"/>
      <c r="E92" s="285" t="s">
        <v>368</v>
      </c>
      <c r="F92" s="267"/>
      <c r="G92" s="267"/>
      <c r="H92" s="285"/>
      <c r="I92" s="267"/>
      <c r="J92" s="267"/>
      <c r="K92" s="267"/>
      <c r="L92" s="267"/>
      <c r="M92" s="267">
        <v>1</v>
      </c>
      <c r="N92" s="384">
        <f>M92</f>
        <v>1</v>
      </c>
      <c r="O92" s="244"/>
    </row>
    <row r="93" spans="3:15" s="257" customFormat="1" x14ac:dyDescent="0.2">
      <c r="C93" s="286"/>
      <c r="D93" s="365"/>
      <c r="E93" s="285" t="s">
        <v>369</v>
      </c>
      <c r="F93" s="267"/>
      <c r="G93" s="267"/>
      <c r="H93" s="285"/>
      <c r="I93" s="267"/>
      <c r="J93" s="267"/>
      <c r="K93" s="267"/>
      <c r="L93" s="267"/>
      <c r="M93" s="267">
        <v>1</v>
      </c>
      <c r="N93" s="270">
        <f>M93</f>
        <v>1</v>
      </c>
      <c r="O93" s="244"/>
    </row>
    <row r="94" spans="3:15" s="257" customFormat="1" ht="15.75" x14ac:dyDescent="0.2">
      <c r="C94" s="348"/>
      <c r="D94" s="366"/>
      <c r="E94" s="341"/>
      <c r="F94" s="338"/>
      <c r="G94" s="338"/>
      <c r="H94" s="341"/>
      <c r="I94" s="338"/>
      <c r="J94" s="338"/>
      <c r="K94" s="338"/>
      <c r="L94" s="338"/>
      <c r="M94" s="338"/>
      <c r="N94" s="345"/>
      <c r="O94" s="244"/>
    </row>
    <row r="95" spans="3:15" s="257" customFormat="1" ht="60.75" x14ac:dyDescent="0.25">
      <c r="C95" s="349" t="str">
        <f>'Planila Orçamentária'!C41</f>
        <v xml:space="preserve">PONTO DE TOMADA RESIDENCIAL INCLUINDO TOMADA 20A/250V, CAIXA ELÉTRICA, ELETRODUTO, CABO, RASGO, QUEBRA E CHUMBAMENTO. AF_01/2016 </v>
      </c>
      <c r="D95" s="364" t="s">
        <v>85</v>
      </c>
      <c r="E95" s="340"/>
      <c r="F95" s="334"/>
      <c r="G95" s="334"/>
      <c r="H95" s="340"/>
      <c r="I95" s="334"/>
      <c r="J95" s="334"/>
      <c r="K95" s="334"/>
      <c r="L95" s="334"/>
      <c r="M95" s="334"/>
      <c r="N95" s="382">
        <f>SUM(N96:N97)</f>
        <v>9</v>
      </c>
      <c r="O95" s="244"/>
    </row>
    <row r="96" spans="3:15" s="257" customFormat="1" x14ac:dyDescent="0.2">
      <c r="C96" s="286"/>
      <c r="D96" s="365"/>
      <c r="E96" s="285" t="s">
        <v>368</v>
      </c>
      <c r="F96" s="267"/>
      <c r="G96" s="267"/>
      <c r="H96" s="285"/>
      <c r="I96" s="267"/>
      <c r="J96" s="267"/>
      <c r="K96" s="267"/>
      <c r="L96" s="267"/>
      <c r="M96" s="267">
        <v>4</v>
      </c>
      <c r="N96" s="270">
        <f>M96</f>
        <v>4</v>
      </c>
      <c r="O96" s="244"/>
    </row>
    <row r="97" spans="1:15" s="257" customFormat="1" x14ac:dyDescent="0.2">
      <c r="C97" s="286"/>
      <c r="D97" s="365"/>
      <c r="E97" s="285" t="s">
        <v>369</v>
      </c>
      <c r="F97" s="267"/>
      <c r="G97" s="267"/>
      <c r="H97" s="285"/>
      <c r="I97" s="267"/>
      <c r="J97" s="267"/>
      <c r="K97" s="267"/>
      <c r="L97" s="267"/>
      <c r="M97" s="267">
        <v>5</v>
      </c>
      <c r="N97" s="270">
        <f>M97</f>
        <v>5</v>
      </c>
      <c r="O97" s="244"/>
    </row>
    <row r="98" spans="1:15" s="257" customFormat="1" ht="15.75" x14ac:dyDescent="0.2">
      <c r="C98" s="348"/>
      <c r="D98" s="366"/>
      <c r="E98" s="341"/>
      <c r="F98" s="338"/>
      <c r="G98" s="338"/>
      <c r="H98" s="341"/>
      <c r="I98" s="338"/>
      <c r="J98" s="338"/>
      <c r="K98" s="338"/>
      <c r="L98" s="338"/>
      <c r="M98" s="338"/>
      <c r="N98" s="345"/>
      <c r="O98" s="244"/>
    </row>
    <row r="99" spans="1:15" s="257" customFormat="1" ht="45.75" x14ac:dyDescent="0.25">
      <c r="C99" s="349" t="str">
        <f>'Planila Orçamentária'!C42</f>
        <v>TOMADA DUPLA PARA LÓGICA RJ45, 4"X2", EMBUTIR, COMPLETA, REF.0605, FAME OU SIMILAR</v>
      </c>
      <c r="D99" s="364" t="s">
        <v>85</v>
      </c>
      <c r="E99" s="340"/>
      <c r="F99" s="334"/>
      <c r="G99" s="334"/>
      <c r="H99" s="340"/>
      <c r="I99" s="334"/>
      <c r="J99" s="334"/>
      <c r="K99" s="334"/>
      <c r="L99" s="334"/>
      <c r="M99" s="334"/>
      <c r="N99" s="382">
        <f>SUM(N100:N101)</f>
        <v>5</v>
      </c>
      <c r="O99" s="244"/>
    </row>
    <row r="100" spans="1:15" s="257" customFormat="1" x14ac:dyDescent="0.2">
      <c r="C100" s="286"/>
      <c r="D100" s="365"/>
      <c r="E100" s="285" t="s">
        <v>368</v>
      </c>
      <c r="F100" s="267"/>
      <c r="G100" s="267"/>
      <c r="H100" s="285"/>
      <c r="I100" s="267"/>
      <c r="J100" s="267"/>
      <c r="K100" s="267"/>
      <c r="L100" s="267"/>
      <c r="M100" s="267">
        <v>3</v>
      </c>
      <c r="N100" s="270">
        <f>M100</f>
        <v>3</v>
      </c>
      <c r="O100" s="244"/>
    </row>
    <row r="101" spans="1:15" s="257" customFormat="1" x14ac:dyDescent="0.2">
      <c r="C101" s="286"/>
      <c r="D101" s="365"/>
      <c r="E101" s="285" t="s">
        <v>369</v>
      </c>
      <c r="F101" s="267"/>
      <c r="G101" s="267"/>
      <c r="H101" s="285"/>
      <c r="I101" s="267"/>
      <c r="J101" s="267"/>
      <c r="K101" s="267"/>
      <c r="L101" s="267"/>
      <c r="M101" s="267">
        <v>2</v>
      </c>
      <c r="N101" s="270">
        <f>M101</f>
        <v>2</v>
      </c>
      <c r="O101" s="244"/>
    </row>
    <row r="102" spans="1:15" s="257" customFormat="1" ht="30.75" x14ac:dyDescent="0.25">
      <c r="C102" s="349" t="str">
        <f>'Planila Orçamentária'!C43</f>
        <v>LUMINÁRIA FLUORESCENTE TUBULAR, 2 X 40 W / 127 V, COMPLETA - REV. 01</v>
      </c>
      <c r="D102" s="364" t="s">
        <v>85</v>
      </c>
      <c r="E102" s="340"/>
      <c r="F102" s="334"/>
      <c r="G102" s="334"/>
      <c r="H102" s="340"/>
      <c r="I102" s="334"/>
      <c r="J102" s="334"/>
      <c r="K102" s="334"/>
      <c r="L102" s="334"/>
      <c r="M102" s="334"/>
      <c r="N102" s="382">
        <f>SUM(N103:N104)</f>
        <v>4</v>
      </c>
      <c r="O102" s="244"/>
    </row>
    <row r="103" spans="1:15" s="257" customFormat="1" x14ac:dyDescent="0.2">
      <c r="C103" s="286"/>
      <c r="D103" s="365"/>
      <c r="E103" s="285" t="s">
        <v>368</v>
      </c>
      <c r="F103" s="267"/>
      <c r="G103" s="267"/>
      <c r="H103" s="285"/>
      <c r="I103" s="267"/>
      <c r="J103" s="267"/>
      <c r="K103" s="267"/>
      <c r="L103" s="267"/>
      <c r="M103" s="267">
        <v>2</v>
      </c>
      <c r="N103" s="270">
        <f>M103</f>
        <v>2</v>
      </c>
      <c r="O103" s="244"/>
    </row>
    <row r="104" spans="1:15" s="257" customFormat="1" x14ac:dyDescent="0.2">
      <c r="C104" s="286"/>
      <c r="D104" s="365"/>
      <c r="E104" s="285" t="s">
        <v>369</v>
      </c>
      <c r="F104" s="267"/>
      <c r="G104" s="267"/>
      <c r="H104" s="285"/>
      <c r="I104" s="267"/>
      <c r="J104" s="267"/>
      <c r="K104" s="267"/>
      <c r="L104" s="267"/>
      <c r="M104" s="267">
        <v>2</v>
      </c>
      <c r="N104" s="270">
        <f>M104</f>
        <v>2</v>
      </c>
      <c r="O104" s="244"/>
    </row>
    <row r="105" spans="1:15" s="257" customFormat="1" ht="15.75" x14ac:dyDescent="0.2">
      <c r="C105" s="348"/>
      <c r="D105" s="366"/>
      <c r="E105" s="341"/>
      <c r="F105" s="338"/>
      <c r="G105" s="338"/>
      <c r="H105" s="341"/>
      <c r="I105" s="338"/>
      <c r="J105" s="338"/>
      <c r="K105" s="338"/>
      <c r="L105" s="338"/>
      <c r="M105" s="338"/>
      <c r="N105" s="345"/>
      <c r="O105" s="244"/>
    </row>
    <row r="106" spans="1:15" s="257" customFormat="1" ht="15.75" x14ac:dyDescent="0.2">
      <c r="A106" s="330"/>
      <c r="B106" s="330"/>
      <c r="C106" s="271" t="str">
        <f>'Planila Orçamentária'!C44</f>
        <v>INSTALAÇÕES HIDRAÚLICAS</v>
      </c>
      <c r="D106" s="367"/>
      <c r="E106" s="367"/>
      <c r="F106" s="221"/>
      <c r="G106" s="221"/>
      <c r="H106" s="221"/>
      <c r="I106" s="221"/>
      <c r="J106" s="221"/>
      <c r="K106" s="221"/>
      <c r="L106" s="221"/>
      <c r="M106" s="221"/>
      <c r="N106" s="224"/>
      <c r="O106" s="244"/>
    </row>
    <row r="107" spans="1:15" s="257" customFormat="1" ht="45" x14ac:dyDescent="0.25">
      <c r="C107" s="273" t="str">
        <f>'Planila Orçamentária'!C45</f>
        <v>TUBO, PVC, SOLDÁVEL, DN 25MM, INSTALADO EM DRENO DE AR-CONDICIONADO</v>
      </c>
      <c r="D107" s="365" t="s">
        <v>64</v>
      </c>
      <c r="E107" s="285"/>
      <c r="F107" s="267"/>
      <c r="G107" s="267"/>
      <c r="H107" s="267">
        <v>7</v>
      </c>
      <c r="I107" s="267"/>
      <c r="J107" s="267"/>
      <c r="K107" s="267"/>
      <c r="L107" s="267"/>
      <c r="M107" s="267"/>
      <c r="N107" s="382">
        <f>H107</f>
        <v>7</v>
      </c>
      <c r="O107" s="244"/>
    </row>
    <row r="108" spans="1:15" s="257" customFormat="1" ht="15.75" x14ac:dyDescent="0.2">
      <c r="C108" s="286"/>
      <c r="D108" s="365"/>
      <c r="E108" s="285"/>
      <c r="F108" s="267"/>
      <c r="G108" s="267"/>
      <c r="H108" s="285"/>
      <c r="I108" s="267"/>
      <c r="J108" s="267"/>
      <c r="K108" s="267"/>
      <c r="L108" s="267"/>
      <c r="M108" s="267"/>
      <c r="N108" s="269"/>
      <c r="O108" s="244"/>
    </row>
    <row r="109" spans="1:15" s="257" customFormat="1" ht="15.75" x14ac:dyDescent="0.2">
      <c r="A109" s="330"/>
      <c r="B109" s="330"/>
      <c r="C109" s="271" t="str">
        <f>'Planila Orçamentária'!C46</f>
        <v>DIVERSOS</v>
      </c>
      <c r="D109" s="367"/>
      <c r="E109" s="367"/>
      <c r="F109" s="221"/>
      <c r="G109" s="221"/>
      <c r="H109" s="221"/>
      <c r="I109" s="221"/>
      <c r="J109" s="221"/>
      <c r="K109" s="221"/>
      <c r="L109" s="221"/>
      <c r="M109" s="221"/>
      <c r="N109" s="224"/>
      <c r="O109" s="244"/>
    </row>
    <row r="110" spans="1:15" s="257" customFormat="1" ht="15.75" x14ac:dyDescent="0.25">
      <c r="C110" s="346" t="str">
        <f>'Planila Orçamentária'!C47</f>
        <v>LIMPEZA FINAL DA OBRA</v>
      </c>
      <c r="D110" s="364" t="s">
        <v>91</v>
      </c>
      <c r="E110" s="340"/>
      <c r="F110" s="340"/>
      <c r="G110" s="340"/>
      <c r="H110" s="340"/>
      <c r="I110" s="340"/>
      <c r="J110" s="340"/>
      <c r="K110" s="340"/>
      <c r="L110" s="340"/>
      <c r="M110" s="334"/>
      <c r="N110" s="382">
        <f>SUM(N111:N112)</f>
        <v>24.71</v>
      </c>
      <c r="O110" s="244"/>
    </row>
    <row r="111" spans="1:15" s="257" customFormat="1" x14ac:dyDescent="0.2">
      <c r="C111" s="286"/>
      <c r="D111" s="365"/>
      <c r="E111" s="285" t="s">
        <v>368</v>
      </c>
      <c r="F111" s="267"/>
      <c r="G111" s="267"/>
      <c r="H111" s="267"/>
      <c r="I111" s="267"/>
      <c r="J111" s="267"/>
      <c r="K111" s="285">
        <v>13.31</v>
      </c>
      <c r="L111" s="267"/>
      <c r="M111" s="267"/>
      <c r="N111" s="270">
        <f>K111</f>
        <v>13.31</v>
      </c>
      <c r="O111" s="244"/>
    </row>
    <row r="112" spans="1:15" s="257" customFormat="1" x14ac:dyDescent="0.2">
      <c r="C112" s="286"/>
      <c r="D112" s="365"/>
      <c r="E112" s="285" t="s">
        <v>369</v>
      </c>
      <c r="F112" s="267"/>
      <c r="G112" s="267"/>
      <c r="H112" s="267"/>
      <c r="I112" s="267"/>
      <c r="J112" s="267"/>
      <c r="K112" s="267">
        <v>11.4</v>
      </c>
      <c r="L112" s="267"/>
      <c r="M112" s="267"/>
      <c r="N112" s="270">
        <f>K112</f>
        <v>11.4</v>
      </c>
      <c r="O112" s="244"/>
    </row>
    <row r="113" spans="3:15" s="257" customFormat="1" ht="15.75" x14ac:dyDescent="0.2">
      <c r="C113" s="286"/>
      <c r="D113" s="285"/>
      <c r="E113" s="285"/>
      <c r="F113" s="285"/>
      <c r="G113" s="285"/>
      <c r="H113" s="285"/>
      <c r="I113" s="285"/>
      <c r="J113" s="285"/>
      <c r="K113" s="285"/>
      <c r="L113" s="285"/>
      <c r="M113" s="267"/>
      <c r="N113" s="269"/>
      <c r="O113" s="244"/>
    </row>
    <row r="114" spans="3:15" s="257" customFormat="1" ht="15.75" thickBot="1" x14ac:dyDescent="0.25">
      <c r="C114" s="288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90"/>
      <c r="O114" s="244"/>
    </row>
    <row r="115" spans="3:15" s="251" customFormat="1" ht="15.75" x14ac:dyDescent="0.25"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44"/>
    </row>
    <row r="116" spans="3:15" s="251" customFormat="1" ht="15.75" x14ac:dyDescent="0.25"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44"/>
    </row>
    <row r="117" spans="3:15" s="251" customFormat="1" ht="15.75" x14ac:dyDescent="0.25">
      <c r="C117" s="285" t="str">
        <f>'Planila Orçamentária'!B56</f>
        <v>Teresina (PI),  06 de dezembro de 2017</v>
      </c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44"/>
    </row>
  </sheetData>
  <mergeCells count="18">
    <mergeCell ref="C53:N53"/>
    <mergeCell ref="S7:V24"/>
    <mergeCell ref="A12:N12"/>
    <mergeCell ref="F9:N9"/>
    <mergeCell ref="F10:N10"/>
    <mergeCell ref="A10:E10"/>
    <mergeCell ref="A14:N14"/>
    <mergeCell ref="A9:E9"/>
    <mergeCell ref="A2:C7"/>
    <mergeCell ref="D2:E7"/>
    <mergeCell ref="F2:N3"/>
    <mergeCell ref="F4:N5"/>
    <mergeCell ref="F6:N7"/>
    <mergeCell ref="C17:F23"/>
    <mergeCell ref="G21:N23"/>
    <mergeCell ref="C25:N25"/>
    <mergeCell ref="G17:N18"/>
    <mergeCell ref="G19:N2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rowBreaks count="2" manualBreakCount="2">
    <brk id="52" min="2" max="13" man="1"/>
    <brk id="83" min="2" max="13" man="1"/>
  </rowBreaks>
  <colBreaks count="1" manualBreakCount="1">
    <brk id="14" min="1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2"/>
  <sheetViews>
    <sheetView topLeftCell="A19" zoomScale="85" zoomScaleNormal="85" zoomScaleSheetLayoutView="86" workbookViewId="0">
      <selection activeCell="G212" sqref="G212"/>
    </sheetView>
  </sheetViews>
  <sheetFormatPr defaultRowHeight="18" customHeight="1" x14ac:dyDescent="0.25"/>
  <cols>
    <col min="1" max="1" width="4.7109375" style="21" customWidth="1"/>
    <col min="2" max="2" width="16.7109375" style="24" customWidth="1"/>
    <col min="3" max="3" width="58.42578125" style="21" customWidth="1"/>
    <col min="4" max="4" width="9.5703125" style="22" customWidth="1"/>
    <col min="5" max="5" width="9.85546875" style="25" customWidth="1"/>
    <col min="6" max="6" width="17" style="23" customWidth="1"/>
    <col min="7" max="7" width="19.140625" style="23" customWidth="1"/>
    <col min="8" max="8" width="15" style="21" customWidth="1"/>
    <col min="9" max="9" width="14.7109375" style="21" customWidth="1"/>
    <col min="10" max="10" width="0.140625" style="21" customWidth="1"/>
    <col min="11" max="11" width="11.5703125" style="21" customWidth="1"/>
    <col min="12" max="12" width="17.7109375" style="21" customWidth="1"/>
    <col min="13" max="16384" width="9.140625" style="21"/>
  </cols>
  <sheetData>
    <row r="1" spans="2:10" ht="18" customHeight="1" x14ac:dyDescent="0.25">
      <c r="B1" s="26"/>
      <c r="C1" s="27"/>
      <c r="D1" s="28"/>
      <c r="E1" s="29"/>
      <c r="F1" s="30"/>
      <c r="G1" s="30"/>
      <c r="H1" s="27"/>
      <c r="I1" s="27"/>
      <c r="J1" s="27"/>
    </row>
    <row r="2" spans="2:10" ht="18" customHeight="1" x14ac:dyDescent="0.25">
      <c r="B2" s="557"/>
      <c r="C2" s="557"/>
      <c r="D2" s="558" t="str">
        <f>'Planila Orçamentária'!F2</f>
        <v>GABINETE DO SECRETÁRIO</v>
      </c>
      <c r="E2" s="558"/>
      <c r="F2" s="558"/>
      <c r="G2" s="558"/>
      <c r="H2" s="558"/>
      <c r="I2" s="558"/>
      <c r="J2" s="558"/>
    </row>
    <row r="3" spans="2:10" ht="18" customHeight="1" x14ac:dyDescent="0.25">
      <c r="B3" s="557"/>
      <c r="C3" s="557"/>
      <c r="D3" s="558"/>
      <c r="E3" s="558"/>
      <c r="F3" s="558"/>
      <c r="G3" s="558"/>
      <c r="H3" s="558"/>
      <c r="I3" s="558"/>
      <c r="J3" s="558"/>
    </row>
    <row r="4" spans="2:10" ht="18" customHeight="1" x14ac:dyDescent="0.25">
      <c r="B4" s="557"/>
      <c r="C4" s="557"/>
      <c r="D4" s="558" t="str">
        <f>'Planila Orçamentária'!F4</f>
        <v>NÚCLEO DE INFRA-ESTRUTURA EM SAÚDE - NIS</v>
      </c>
      <c r="E4" s="558"/>
      <c r="F4" s="558"/>
      <c r="G4" s="558"/>
      <c r="H4" s="558"/>
      <c r="I4" s="558"/>
      <c r="J4" s="558"/>
    </row>
    <row r="5" spans="2:10" ht="18" customHeight="1" x14ac:dyDescent="0.25">
      <c r="B5" s="557"/>
      <c r="C5" s="557"/>
      <c r="D5" s="558"/>
      <c r="E5" s="558"/>
      <c r="F5" s="558"/>
      <c r="G5" s="558"/>
      <c r="H5" s="558"/>
      <c r="I5" s="558"/>
      <c r="J5" s="558"/>
    </row>
    <row r="6" spans="2:10" ht="18" customHeight="1" x14ac:dyDescent="0.25">
      <c r="B6" s="557"/>
      <c r="C6" s="557"/>
      <c r="D6" s="558" t="str">
        <f>'Planila Orçamentária'!F6</f>
        <v>COORDENAÇÃO DE INFRA-ESTRUTURA EM SAÚDE</v>
      </c>
      <c r="E6" s="558"/>
      <c r="F6" s="558"/>
      <c r="G6" s="558"/>
      <c r="H6" s="558"/>
      <c r="I6" s="558"/>
      <c r="J6" s="558"/>
    </row>
    <row r="7" spans="2:10" ht="18" customHeight="1" x14ac:dyDescent="0.25">
      <c r="B7" s="557"/>
      <c r="C7" s="557"/>
      <c r="D7" s="558"/>
      <c r="E7" s="558"/>
      <c r="F7" s="558"/>
      <c r="G7" s="558"/>
      <c r="H7" s="558"/>
      <c r="I7" s="558"/>
      <c r="J7" s="558"/>
    </row>
    <row r="8" spans="2:10" s="150" customFormat="1" ht="4.5" customHeight="1" x14ac:dyDescent="0.25">
      <c r="B8" s="175"/>
      <c r="C8" s="175"/>
      <c r="D8" s="176"/>
      <c r="E8" s="176"/>
      <c r="F8" s="176"/>
      <c r="G8" s="176"/>
      <c r="H8" s="176"/>
      <c r="I8" s="176"/>
      <c r="J8" s="176"/>
    </row>
    <row r="9" spans="2:10" ht="18" customHeight="1" x14ac:dyDescent="0.25">
      <c r="B9" s="532" t="str">
        <f>'Planila Orçamentária'!B8</f>
        <v>OBRA: REFORMA DA SALA DE REUNIÃO E DE TOMADA DE CONTAS ESPECIAIS DA SESAPI</v>
      </c>
      <c r="C9" s="533"/>
      <c r="D9" s="533"/>
      <c r="E9" s="534"/>
      <c r="F9" s="562" t="str">
        <f>'Planila Orçamentária'!F8</f>
        <v>MUNICÍPIO: TERESINA-PI</v>
      </c>
      <c r="G9" s="563"/>
      <c r="H9" s="563"/>
      <c r="I9" s="563"/>
      <c r="J9" s="564"/>
    </row>
    <row r="10" spans="2:10" ht="18" customHeight="1" x14ac:dyDescent="0.25">
      <c r="B10" s="532" t="str">
        <f>'Planila Orçamentária'!B9</f>
        <v>ENDEREÇO: CENTRO ADMINISTRATIVO</v>
      </c>
      <c r="C10" s="533"/>
      <c r="D10" s="533"/>
      <c r="E10" s="534"/>
      <c r="F10" s="535" t="str">
        <f>'Planila Orçamentária'!F9</f>
        <v>DATA BASE : OUTUBRO/2017 COM DESONERAÇÃO</v>
      </c>
      <c r="G10" s="536"/>
      <c r="H10" s="536"/>
      <c r="I10" s="537"/>
      <c r="J10" s="79"/>
    </row>
    <row r="11" spans="2:10" ht="5.0999999999999996" customHeight="1" x14ac:dyDescent="0.25">
      <c r="B11" s="162"/>
      <c r="C11" s="162"/>
      <c r="D11" s="162"/>
      <c r="E11" s="162"/>
      <c r="F11" s="163"/>
      <c r="G11" s="163"/>
      <c r="H11" s="163"/>
      <c r="I11" s="163"/>
      <c r="J11" s="82"/>
    </row>
    <row r="12" spans="2:10" ht="18" customHeight="1" x14ac:dyDescent="0.25">
      <c r="B12" s="540" t="s">
        <v>69</v>
      </c>
      <c r="C12" s="541"/>
      <c r="D12" s="541"/>
      <c r="E12" s="541"/>
      <c r="F12" s="541"/>
      <c r="G12" s="541"/>
      <c r="H12" s="541"/>
      <c r="I12" s="542"/>
      <c r="J12" s="82"/>
    </row>
    <row r="13" spans="2:10" s="78" customFormat="1" ht="5.0999999999999996" customHeight="1" x14ac:dyDescent="0.25">
      <c r="B13" s="162"/>
      <c r="C13" s="162"/>
      <c r="D13" s="162"/>
      <c r="E13" s="162"/>
      <c r="F13" s="162"/>
      <c r="G13" s="162"/>
      <c r="H13" s="162"/>
      <c r="I13" s="162"/>
      <c r="J13" s="164"/>
    </row>
    <row r="14" spans="2:10" ht="18.75" customHeight="1" x14ac:dyDescent="0.25">
      <c r="B14" s="538" t="s">
        <v>58</v>
      </c>
      <c r="C14" s="539"/>
      <c r="D14" s="559">
        <v>0.89459999999999995</v>
      </c>
      <c r="E14" s="559"/>
      <c r="F14" s="560"/>
      <c r="G14" s="560"/>
      <c r="H14" s="560"/>
      <c r="I14" s="561"/>
      <c r="J14" s="80"/>
    </row>
    <row r="15" spans="2:10" ht="48.75" customHeight="1" x14ac:dyDescent="0.25">
      <c r="B15" s="543" t="s">
        <v>222</v>
      </c>
      <c r="C15" s="544"/>
      <c r="D15" s="544"/>
      <c r="E15" s="544"/>
      <c r="F15" s="544"/>
      <c r="G15" s="544"/>
      <c r="H15" s="544"/>
      <c r="I15" s="545"/>
      <c r="J15" s="81"/>
    </row>
    <row r="16" spans="2:10" ht="18.75" customHeight="1" x14ac:dyDescent="0.25">
      <c r="B16" s="546" t="s">
        <v>57</v>
      </c>
      <c r="C16" s="547"/>
      <c r="D16" s="110">
        <f>I31</f>
        <v>510.9</v>
      </c>
      <c r="E16" s="111"/>
      <c r="F16" s="111"/>
      <c r="G16" s="112"/>
      <c r="H16" s="112"/>
      <c r="I16" s="113" t="s">
        <v>77</v>
      </c>
      <c r="J16" s="81"/>
    </row>
    <row r="17" spans="2:10" ht="18.75" customHeight="1" x14ac:dyDescent="0.25">
      <c r="B17" s="548"/>
      <c r="C17" s="549"/>
      <c r="D17" s="549"/>
      <c r="E17" s="549"/>
      <c r="F17" s="549"/>
      <c r="G17" s="549"/>
      <c r="H17" s="549"/>
      <c r="I17" s="550"/>
      <c r="J17" s="81"/>
    </row>
    <row r="18" spans="2:10" ht="18.75" customHeight="1" x14ac:dyDescent="0.25">
      <c r="B18" s="114" t="s">
        <v>44</v>
      </c>
      <c r="C18" s="115" t="s">
        <v>45</v>
      </c>
      <c r="D18" s="115"/>
      <c r="E18" s="115"/>
      <c r="F18" s="115" t="s">
        <v>46</v>
      </c>
      <c r="G18" s="115" t="s">
        <v>47</v>
      </c>
      <c r="H18" s="115" t="s">
        <v>48</v>
      </c>
      <c r="I18" s="116" t="s">
        <v>49</v>
      </c>
      <c r="J18" s="81"/>
    </row>
    <row r="19" spans="2:10" ht="18.75" customHeight="1" x14ac:dyDescent="0.25">
      <c r="B19" s="551" t="s">
        <v>50</v>
      </c>
      <c r="C19" s="552"/>
      <c r="D19" s="552"/>
      <c r="E19" s="552"/>
      <c r="F19" s="552"/>
      <c r="G19" s="552"/>
      <c r="H19" s="552"/>
      <c r="I19" s="553"/>
      <c r="J19" s="81"/>
    </row>
    <row r="20" spans="2:10" ht="18.75" customHeight="1" x14ac:dyDescent="0.2">
      <c r="B20" s="117">
        <v>88261</v>
      </c>
      <c r="C20" s="527" t="s">
        <v>216</v>
      </c>
      <c r="D20" s="527"/>
      <c r="E20" s="527"/>
      <c r="F20" s="118" t="s">
        <v>88</v>
      </c>
      <c r="G20" s="119">
        <v>0.5</v>
      </c>
      <c r="H20" s="120">
        <v>17.02</v>
      </c>
      <c r="I20" s="121">
        <f>ROUND(G20*H20,2)</f>
        <v>8.51</v>
      </c>
      <c r="J20" s="81"/>
    </row>
    <row r="21" spans="2:10" ht="18.75" customHeight="1" x14ac:dyDescent="0.2">
      <c r="B21" s="117">
        <v>88239</v>
      </c>
      <c r="C21" s="527" t="s">
        <v>217</v>
      </c>
      <c r="D21" s="527"/>
      <c r="E21" s="527"/>
      <c r="F21" s="118" t="s">
        <v>88</v>
      </c>
      <c r="G21" s="119">
        <v>0.5</v>
      </c>
      <c r="H21" s="120">
        <v>14.09</v>
      </c>
      <c r="I21" s="121">
        <f>ROUND(G21*H21,2)</f>
        <v>7.05</v>
      </c>
      <c r="J21" s="81"/>
    </row>
    <row r="22" spans="2:10" ht="18.75" customHeight="1" x14ac:dyDescent="0.25">
      <c r="B22" s="528" t="s">
        <v>53</v>
      </c>
      <c r="C22" s="529"/>
      <c r="D22" s="529"/>
      <c r="E22" s="529"/>
      <c r="F22" s="529"/>
      <c r="G22" s="529"/>
      <c r="H22" s="529"/>
      <c r="I22" s="122">
        <f>SUM(I20:I21)</f>
        <v>15.559999999999999</v>
      </c>
      <c r="J22" s="81"/>
    </row>
    <row r="23" spans="2:10" ht="18.75" customHeight="1" x14ac:dyDescent="0.25">
      <c r="B23" s="551" t="s">
        <v>59</v>
      </c>
      <c r="C23" s="552"/>
      <c r="D23" s="552"/>
      <c r="E23" s="552"/>
      <c r="F23" s="552"/>
      <c r="G23" s="552"/>
      <c r="H23" s="552"/>
      <c r="I23" s="553"/>
      <c r="J23" s="81"/>
    </row>
    <row r="24" spans="2:10" ht="18.75" customHeight="1" x14ac:dyDescent="0.2">
      <c r="B24" s="117" t="s">
        <v>219</v>
      </c>
      <c r="C24" s="526" t="s">
        <v>218</v>
      </c>
      <c r="D24" s="526"/>
      <c r="E24" s="526"/>
      <c r="F24" s="118" t="s">
        <v>62</v>
      </c>
      <c r="G24" s="119">
        <v>1</v>
      </c>
      <c r="H24" s="123">
        <v>442.9</v>
      </c>
      <c r="I24" s="121">
        <f>ROUND(G24*H24,2)</f>
        <v>442.9</v>
      </c>
      <c r="J24" s="81"/>
    </row>
    <row r="25" spans="2:10" ht="18.75" customHeight="1" x14ac:dyDescent="0.2">
      <c r="B25" s="117" t="s">
        <v>220</v>
      </c>
      <c r="C25" s="526" t="s">
        <v>221</v>
      </c>
      <c r="D25" s="526"/>
      <c r="E25" s="526"/>
      <c r="F25" s="118" t="s">
        <v>91</v>
      </c>
      <c r="G25" s="119">
        <f>0.85*0.6*2</f>
        <v>1.02</v>
      </c>
      <c r="H25" s="123">
        <v>51.41</v>
      </c>
      <c r="I25" s="121">
        <f>ROUND(G25*H25,2)</f>
        <v>52.44</v>
      </c>
      <c r="J25" s="81"/>
    </row>
    <row r="26" spans="2:10" ht="18.75" customHeight="1" x14ac:dyDescent="0.2">
      <c r="B26" s="117"/>
      <c r="C26" s="526"/>
      <c r="D26" s="526"/>
      <c r="E26" s="526"/>
      <c r="F26" s="118"/>
      <c r="G26" s="119"/>
      <c r="H26" s="124"/>
      <c r="I26" s="121"/>
      <c r="J26" s="81"/>
    </row>
    <row r="27" spans="2:10" ht="18.75" customHeight="1" x14ac:dyDescent="0.2">
      <c r="B27" s="117"/>
      <c r="C27" s="526"/>
      <c r="D27" s="526"/>
      <c r="E27" s="526"/>
      <c r="F27" s="118"/>
      <c r="G27" s="119"/>
      <c r="H27" s="120"/>
      <c r="I27" s="121"/>
      <c r="J27" s="81"/>
    </row>
    <row r="28" spans="2:10" ht="18.75" customHeight="1" x14ac:dyDescent="0.25">
      <c r="B28" s="528" t="s">
        <v>60</v>
      </c>
      <c r="C28" s="529"/>
      <c r="D28" s="529"/>
      <c r="E28" s="529"/>
      <c r="F28" s="529"/>
      <c r="G28" s="529"/>
      <c r="H28" s="529"/>
      <c r="I28" s="125">
        <f>SUM(I24:I27)</f>
        <v>495.34</v>
      </c>
      <c r="J28" s="81"/>
    </row>
    <row r="29" spans="2:10" ht="18.75" customHeight="1" x14ac:dyDescent="0.25">
      <c r="B29" s="530"/>
      <c r="C29" s="531"/>
      <c r="D29" s="531"/>
      <c r="E29" s="531"/>
      <c r="F29" s="531"/>
      <c r="G29" s="531"/>
      <c r="H29" s="531"/>
      <c r="I29" s="554"/>
      <c r="J29" s="81"/>
    </row>
    <row r="30" spans="2:10" ht="18.75" customHeight="1" x14ac:dyDescent="0.25">
      <c r="B30" s="567"/>
      <c r="C30" s="568"/>
      <c r="D30" s="568"/>
      <c r="E30" s="568"/>
      <c r="F30" s="568"/>
      <c r="G30" s="568"/>
      <c r="H30" s="568"/>
      <c r="I30" s="126"/>
      <c r="J30" s="81"/>
    </row>
    <row r="31" spans="2:10" ht="18.75" customHeight="1" x14ac:dyDescent="0.25">
      <c r="B31" s="555" t="s">
        <v>56</v>
      </c>
      <c r="C31" s="556"/>
      <c r="D31" s="556"/>
      <c r="E31" s="556"/>
      <c r="F31" s="556"/>
      <c r="G31" s="556"/>
      <c r="H31" s="556"/>
      <c r="I31" s="127">
        <f>SUM(I20:I30)/2</f>
        <v>510.9</v>
      </c>
      <c r="J31" s="81"/>
    </row>
    <row r="32" spans="2:10" ht="18.75" customHeight="1" x14ac:dyDescent="0.25">
      <c r="B32" s="128"/>
      <c r="C32" s="129"/>
      <c r="D32" s="129"/>
      <c r="E32" s="129"/>
      <c r="F32" s="129"/>
      <c r="G32" s="129"/>
      <c r="H32" s="129"/>
      <c r="I32" s="130"/>
      <c r="J32" s="81"/>
    </row>
    <row r="33" spans="2:10" ht="29.25" customHeight="1" x14ac:dyDescent="0.25">
      <c r="B33" s="515" t="s">
        <v>225</v>
      </c>
      <c r="C33" s="516"/>
      <c r="D33" s="516"/>
      <c r="E33" s="516"/>
      <c r="F33" s="516"/>
      <c r="G33" s="516"/>
      <c r="H33" s="516"/>
      <c r="I33" s="517"/>
      <c r="J33" s="81"/>
    </row>
    <row r="34" spans="2:10" ht="18.75" customHeight="1" x14ac:dyDescent="0.25">
      <c r="B34" s="518" t="s">
        <v>57</v>
      </c>
      <c r="C34" s="519"/>
      <c r="D34" s="83">
        <f>I47</f>
        <v>568.37999999999988</v>
      </c>
      <c r="E34" s="84"/>
      <c r="F34" s="84"/>
      <c r="G34" s="85"/>
      <c r="H34" s="85"/>
      <c r="I34" s="86" t="s">
        <v>63</v>
      </c>
      <c r="J34" s="81"/>
    </row>
    <row r="35" spans="2:10" ht="18.75" customHeight="1" x14ac:dyDescent="0.25">
      <c r="B35" s="520"/>
      <c r="C35" s="521"/>
      <c r="D35" s="521"/>
      <c r="E35" s="521"/>
      <c r="F35" s="521"/>
      <c r="G35" s="521"/>
      <c r="H35" s="521"/>
      <c r="I35" s="522"/>
      <c r="J35" s="81"/>
    </row>
    <row r="36" spans="2:10" ht="18.75" customHeight="1" x14ac:dyDescent="0.25">
      <c r="B36" s="87" t="s">
        <v>44</v>
      </c>
      <c r="C36" s="88" t="s">
        <v>45</v>
      </c>
      <c r="D36" s="88"/>
      <c r="E36" s="88"/>
      <c r="F36" s="88" t="s">
        <v>46</v>
      </c>
      <c r="G36" s="88" t="s">
        <v>47</v>
      </c>
      <c r="H36" s="88" t="s">
        <v>48</v>
      </c>
      <c r="I36" s="89" t="s">
        <v>49</v>
      </c>
      <c r="J36" s="81"/>
    </row>
    <row r="37" spans="2:10" ht="18.75" customHeight="1" x14ac:dyDescent="0.25">
      <c r="B37" s="523" t="s">
        <v>50</v>
      </c>
      <c r="C37" s="524"/>
      <c r="D37" s="524"/>
      <c r="E37" s="524"/>
      <c r="F37" s="524"/>
      <c r="G37" s="524"/>
      <c r="H37" s="524"/>
      <c r="I37" s="525"/>
      <c r="J37" s="81"/>
    </row>
    <row r="38" spans="2:10" ht="18.75" customHeight="1" x14ac:dyDescent="0.2">
      <c r="B38" s="117">
        <v>88261</v>
      </c>
      <c r="C38" s="527" t="s">
        <v>216</v>
      </c>
      <c r="D38" s="527"/>
      <c r="E38" s="527"/>
      <c r="F38" s="118" t="s">
        <v>88</v>
      </c>
      <c r="G38" s="119">
        <v>0.5</v>
      </c>
      <c r="H38" s="120">
        <v>17.02</v>
      </c>
      <c r="I38" s="121">
        <f>ROUND(G38*H38,2)</f>
        <v>8.51</v>
      </c>
      <c r="J38" s="81"/>
    </row>
    <row r="39" spans="2:10" ht="18.75" customHeight="1" x14ac:dyDescent="0.2">
      <c r="B39" s="117">
        <v>88239</v>
      </c>
      <c r="C39" s="527" t="s">
        <v>217</v>
      </c>
      <c r="D39" s="527"/>
      <c r="E39" s="527"/>
      <c r="F39" s="118" t="s">
        <v>88</v>
      </c>
      <c r="G39" s="119">
        <v>0.5</v>
      </c>
      <c r="H39" s="120">
        <v>14.09</v>
      </c>
      <c r="I39" s="121">
        <f>ROUND(G39*H39,2)</f>
        <v>7.05</v>
      </c>
      <c r="J39" s="81"/>
    </row>
    <row r="40" spans="2:10" ht="18.75" customHeight="1" x14ac:dyDescent="0.25">
      <c r="B40" s="506" t="s">
        <v>53</v>
      </c>
      <c r="C40" s="507"/>
      <c r="D40" s="507"/>
      <c r="E40" s="507"/>
      <c r="F40" s="507"/>
      <c r="G40" s="507"/>
      <c r="H40" s="507"/>
      <c r="I40" s="91">
        <f>SUM(I38:I39)</f>
        <v>15.559999999999999</v>
      </c>
      <c r="J40" s="81"/>
    </row>
    <row r="41" spans="2:10" ht="18.75" customHeight="1" x14ac:dyDescent="0.25">
      <c r="B41" s="523" t="s">
        <v>59</v>
      </c>
      <c r="C41" s="524"/>
      <c r="D41" s="524"/>
      <c r="E41" s="524"/>
      <c r="F41" s="524"/>
      <c r="G41" s="524"/>
      <c r="H41" s="524"/>
      <c r="I41" s="525"/>
      <c r="J41" s="81"/>
    </row>
    <row r="42" spans="2:10" ht="18.75" customHeight="1" x14ac:dyDescent="0.2">
      <c r="B42" s="117" t="s">
        <v>223</v>
      </c>
      <c r="C42" s="526" t="s">
        <v>224</v>
      </c>
      <c r="D42" s="526"/>
      <c r="E42" s="526"/>
      <c r="F42" s="118" t="s">
        <v>62</v>
      </c>
      <c r="G42" s="119">
        <v>1</v>
      </c>
      <c r="H42" s="124">
        <v>482.9</v>
      </c>
      <c r="I42" s="121">
        <f>ROUND(G42*H42,2)</f>
        <v>482.9</v>
      </c>
      <c r="J42" s="81"/>
    </row>
    <row r="43" spans="2:10" ht="18.75" customHeight="1" x14ac:dyDescent="0.2">
      <c r="B43" s="117" t="s">
        <v>220</v>
      </c>
      <c r="C43" s="526" t="s">
        <v>221</v>
      </c>
      <c r="D43" s="526"/>
      <c r="E43" s="526"/>
      <c r="F43" s="118" t="s">
        <v>91</v>
      </c>
      <c r="G43" s="119">
        <f>0.85*0.8*2</f>
        <v>1.36</v>
      </c>
      <c r="H43" s="123">
        <v>51.41</v>
      </c>
      <c r="I43" s="121">
        <f>ROUND(G43*H43,2)</f>
        <v>69.92</v>
      </c>
      <c r="J43" s="81"/>
    </row>
    <row r="44" spans="2:10" ht="18.75" customHeight="1" x14ac:dyDescent="0.25">
      <c r="B44" s="506" t="s">
        <v>60</v>
      </c>
      <c r="C44" s="507"/>
      <c r="D44" s="507"/>
      <c r="E44" s="507"/>
      <c r="F44" s="507"/>
      <c r="G44" s="507"/>
      <c r="H44" s="507"/>
      <c r="I44" s="91">
        <f>SUM(I42:I43)</f>
        <v>552.81999999999994</v>
      </c>
      <c r="J44" s="81"/>
    </row>
    <row r="45" spans="2:10" ht="18.75" customHeight="1" x14ac:dyDescent="0.25">
      <c r="B45" s="508"/>
      <c r="C45" s="509"/>
      <c r="D45" s="509"/>
      <c r="E45" s="509"/>
      <c r="F45" s="509"/>
      <c r="G45" s="509"/>
      <c r="H45" s="509"/>
      <c r="I45" s="510"/>
      <c r="J45" s="81"/>
    </row>
    <row r="46" spans="2:10" ht="18.75" customHeight="1" x14ac:dyDescent="0.25">
      <c r="B46" s="511"/>
      <c r="C46" s="512"/>
      <c r="D46" s="512"/>
      <c r="E46" s="512"/>
      <c r="F46" s="512"/>
      <c r="G46" s="512"/>
      <c r="H46" s="512"/>
      <c r="I46" s="92"/>
      <c r="J46" s="81"/>
    </row>
    <row r="47" spans="2:10" ht="18.75" customHeight="1" x14ac:dyDescent="0.25">
      <c r="B47" s="513" t="s">
        <v>56</v>
      </c>
      <c r="C47" s="514"/>
      <c r="D47" s="514"/>
      <c r="E47" s="514"/>
      <c r="F47" s="514"/>
      <c r="G47" s="514"/>
      <c r="H47" s="514"/>
      <c r="I47" s="93">
        <f>SUM(I38:I46)/2</f>
        <v>568.37999999999988</v>
      </c>
      <c r="J47" s="81"/>
    </row>
    <row r="48" spans="2:10" ht="18.75" customHeight="1" x14ac:dyDescent="0.25">
      <c r="B48" s="142"/>
      <c r="C48" s="143"/>
      <c r="D48" s="144"/>
      <c r="E48" s="144"/>
      <c r="F48" s="145"/>
      <c r="G48" s="145"/>
      <c r="H48" s="145"/>
      <c r="I48" s="146"/>
      <c r="J48" s="81"/>
    </row>
    <row r="49" spans="2:10" ht="29.25" customHeight="1" x14ac:dyDescent="0.25">
      <c r="B49" s="515" t="s">
        <v>226</v>
      </c>
      <c r="C49" s="516"/>
      <c r="D49" s="516"/>
      <c r="E49" s="516"/>
      <c r="F49" s="516"/>
      <c r="G49" s="516"/>
      <c r="H49" s="516"/>
      <c r="I49" s="517"/>
      <c r="J49" s="81"/>
    </row>
    <row r="50" spans="2:10" ht="18.75" customHeight="1" x14ac:dyDescent="0.25">
      <c r="B50" s="518" t="s">
        <v>57</v>
      </c>
      <c r="C50" s="519"/>
      <c r="D50" s="83">
        <f>I63</f>
        <v>596.11999999999989</v>
      </c>
      <c r="E50" s="84"/>
      <c r="F50" s="84"/>
      <c r="G50" s="85"/>
      <c r="H50" s="85"/>
      <c r="I50" s="86" t="s">
        <v>63</v>
      </c>
      <c r="J50" s="81"/>
    </row>
    <row r="51" spans="2:10" ht="18.75" customHeight="1" x14ac:dyDescent="0.25">
      <c r="B51" s="520"/>
      <c r="C51" s="521"/>
      <c r="D51" s="521"/>
      <c r="E51" s="521"/>
      <c r="F51" s="521"/>
      <c r="G51" s="521"/>
      <c r="H51" s="521"/>
      <c r="I51" s="522"/>
      <c r="J51" s="81"/>
    </row>
    <row r="52" spans="2:10" ht="18.75" customHeight="1" x14ac:dyDescent="0.25">
      <c r="B52" s="87" t="s">
        <v>44</v>
      </c>
      <c r="C52" s="88" t="s">
        <v>45</v>
      </c>
      <c r="D52" s="88"/>
      <c r="E52" s="88"/>
      <c r="F52" s="88" t="s">
        <v>46</v>
      </c>
      <c r="G52" s="88" t="s">
        <v>47</v>
      </c>
      <c r="H52" s="88" t="s">
        <v>48</v>
      </c>
      <c r="I52" s="89" t="s">
        <v>49</v>
      </c>
      <c r="J52" s="81"/>
    </row>
    <row r="53" spans="2:10" ht="18.75" customHeight="1" x14ac:dyDescent="0.25">
      <c r="B53" s="523" t="s">
        <v>50</v>
      </c>
      <c r="C53" s="524"/>
      <c r="D53" s="524"/>
      <c r="E53" s="524"/>
      <c r="F53" s="524"/>
      <c r="G53" s="524"/>
      <c r="H53" s="524"/>
      <c r="I53" s="525"/>
      <c r="J53" s="81"/>
    </row>
    <row r="54" spans="2:10" ht="18.75" customHeight="1" x14ac:dyDescent="0.2">
      <c r="B54" s="117">
        <v>88261</v>
      </c>
      <c r="C54" s="527" t="s">
        <v>216</v>
      </c>
      <c r="D54" s="527"/>
      <c r="E54" s="527"/>
      <c r="F54" s="118" t="s">
        <v>88</v>
      </c>
      <c r="G54" s="119">
        <v>0.5</v>
      </c>
      <c r="H54" s="120">
        <v>17.02</v>
      </c>
      <c r="I54" s="121">
        <f>ROUND(G54*H54,2)</f>
        <v>8.51</v>
      </c>
      <c r="J54" s="81"/>
    </row>
    <row r="55" spans="2:10" ht="18.75" customHeight="1" x14ac:dyDescent="0.2">
      <c r="B55" s="117">
        <v>88239</v>
      </c>
      <c r="C55" s="527" t="s">
        <v>217</v>
      </c>
      <c r="D55" s="527"/>
      <c r="E55" s="527"/>
      <c r="F55" s="118" t="s">
        <v>88</v>
      </c>
      <c r="G55" s="119">
        <v>0.5</v>
      </c>
      <c r="H55" s="120">
        <v>14.09</v>
      </c>
      <c r="I55" s="121">
        <f>ROUND(G55*H55,2)</f>
        <v>7.05</v>
      </c>
      <c r="J55" s="81"/>
    </row>
    <row r="56" spans="2:10" ht="18.75" customHeight="1" x14ac:dyDescent="0.25">
      <c r="B56" s="506" t="s">
        <v>53</v>
      </c>
      <c r="C56" s="507"/>
      <c r="D56" s="507"/>
      <c r="E56" s="507"/>
      <c r="F56" s="507"/>
      <c r="G56" s="507"/>
      <c r="H56" s="507"/>
      <c r="I56" s="91">
        <f>SUM(I54:I55)</f>
        <v>15.559999999999999</v>
      </c>
      <c r="J56" s="81"/>
    </row>
    <row r="57" spans="2:10" ht="18.75" customHeight="1" x14ac:dyDescent="0.25">
      <c r="B57" s="523" t="s">
        <v>59</v>
      </c>
      <c r="C57" s="524"/>
      <c r="D57" s="524"/>
      <c r="E57" s="524"/>
      <c r="F57" s="524"/>
      <c r="G57" s="524"/>
      <c r="H57" s="524"/>
      <c r="I57" s="525"/>
      <c r="J57" s="81"/>
    </row>
    <row r="58" spans="2:10" ht="18.75" customHeight="1" x14ac:dyDescent="0.2">
      <c r="B58" s="117" t="s">
        <v>223</v>
      </c>
      <c r="C58" s="526" t="s">
        <v>227</v>
      </c>
      <c r="D58" s="526"/>
      <c r="E58" s="526"/>
      <c r="F58" s="118" t="s">
        <v>62</v>
      </c>
      <c r="G58" s="119">
        <v>1</v>
      </c>
      <c r="H58" s="124">
        <v>501.9</v>
      </c>
      <c r="I58" s="121">
        <f>ROUND(G58*H58,2)</f>
        <v>501.9</v>
      </c>
      <c r="J58" s="81"/>
    </row>
    <row r="59" spans="2:10" ht="18.75" customHeight="1" x14ac:dyDescent="0.2">
      <c r="B59" s="117" t="s">
        <v>220</v>
      </c>
      <c r="C59" s="526" t="s">
        <v>221</v>
      </c>
      <c r="D59" s="526"/>
      <c r="E59" s="526"/>
      <c r="F59" s="118" t="s">
        <v>91</v>
      </c>
      <c r="G59" s="119">
        <f>0.85*0.9*2</f>
        <v>1.53</v>
      </c>
      <c r="H59" s="123">
        <v>51.41</v>
      </c>
      <c r="I59" s="121">
        <f>ROUND(G59*H59,2)</f>
        <v>78.66</v>
      </c>
      <c r="J59" s="81"/>
    </row>
    <row r="60" spans="2:10" ht="18.75" customHeight="1" x14ac:dyDescent="0.25">
      <c r="B60" s="506" t="s">
        <v>60</v>
      </c>
      <c r="C60" s="507"/>
      <c r="D60" s="507"/>
      <c r="E60" s="507"/>
      <c r="F60" s="507"/>
      <c r="G60" s="507"/>
      <c r="H60" s="507"/>
      <c r="I60" s="91">
        <f>SUM(I58:I59)</f>
        <v>580.55999999999995</v>
      </c>
      <c r="J60" s="81"/>
    </row>
    <row r="61" spans="2:10" ht="18.75" customHeight="1" x14ac:dyDescent="0.25">
      <c r="B61" s="508"/>
      <c r="C61" s="509"/>
      <c r="D61" s="509"/>
      <c r="E61" s="509"/>
      <c r="F61" s="509"/>
      <c r="G61" s="509"/>
      <c r="H61" s="509"/>
      <c r="I61" s="510"/>
      <c r="J61" s="81"/>
    </row>
    <row r="62" spans="2:10" ht="18.75" customHeight="1" x14ac:dyDescent="0.25">
      <c r="B62" s="511"/>
      <c r="C62" s="512"/>
      <c r="D62" s="512"/>
      <c r="E62" s="512"/>
      <c r="F62" s="512"/>
      <c r="G62" s="512"/>
      <c r="H62" s="512"/>
      <c r="I62" s="92"/>
      <c r="J62" s="81"/>
    </row>
    <row r="63" spans="2:10" ht="18.75" customHeight="1" x14ac:dyDescent="0.25">
      <c r="B63" s="513" t="s">
        <v>56</v>
      </c>
      <c r="C63" s="514"/>
      <c r="D63" s="514"/>
      <c r="E63" s="514"/>
      <c r="F63" s="514"/>
      <c r="G63" s="514"/>
      <c r="H63" s="514"/>
      <c r="I63" s="93">
        <f>SUM(I54:I62)/2</f>
        <v>596.11999999999989</v>
      </c>
      <c r="J63" s="81"/>
    </row>
    <row r="64" spans="2:10" ht="18.75" customHeight="1" x14ac:dyDescent="0.25">
      <c r="B64" s="142"/>
      <c r="C64" s="143"/>
      <c r="D64" s="144"/>
      <c r="E64" s="144"/>
      <c r="F64" s="145"/>
      <c r="G64" s="145"/>
      <c r="H64" s="145"/>
      <c r="I64" s="146"/>
      <c r="J64" s="81"/>
    </row>
    <row r="65" spans="2:10" ht="29.25" customHeight="1" x14ac:dyDescent="0.25">
      <c r="B65" s="515" t="s">
        <v>228</v>
      </c>
      <c r="C65" s="516"/>
      <c r="D65" s="516"/>
      <c r="E65" s="516"/>
      <c r="F65" s="516"/>
      <c r="G65" s="516"/>
      <c r="H65" s="516"/>
      <c r="I65" s="517"/>
      <c r="J65" s="81"/>
    </row>
    <row r="66" spans="2:10" ht="18.75" customHeight="1" x14ac:dyDescent="0.25">
      <c r="B66" s="518" t="s">
        <v>57</v>
      </c>
      <c r="C66" s="519"/>
      <c r="D66" s="83">
        <f>I79</f>
        <v>829.63</v>
      </c>
      <c r="E66" s="84"/>
      <c r="F66" s="84"/>
      <c r="G66" s="85"/>
      <c r="H66" s="85"/>
      <c r="I66" s="86" t="s">
        <v>63</v>
      </c>
      <c r="J66" s="81"/>
    </row>
    <row r="67" spans="2:10" ht="18.75" customHeight="1" x14ac:dyDescent="0.25">
      <c r="B67" s="520"/>
      <c r="C67" s="521"/>
      <c r="D67" s="521"/>
      <c r="E67" s="521"/>
      <c r="F67" s="521"/>
      <c r="G67" s="521"/>
      <c r="H67" s="521"/>
      <c r="I67" s="522"/>
      <c r="J67" s="81"/>
    </row>
    <row r="68" spans="2:10" ht="18.75" customHeight="1" x14ac:dyDescent="0.25">
      <c r="B68" s="87" t="s">
        <v>44</v>
      </c>
      <c r="C68" s="88" t="s">
        <v>45</v>
      </c>
      <c r="D68" s="88"/>
      <c r="E68" s="88"/>
      <c r="F68" s="88" t="s">
        <v>46</v>
      </c>
      <c r="G68" s="88" t="s">
        <v>47</v>
      </c>
      <c r="H68" s="88" t="s">
        <v>48</v>
      </c>
      <c r="I68" s="89" t="s">
        <v>49</v>
      </c>
      <c r="J68" s="81"/>
    </row>
    <row r="69" spans="2:10" ht="18.75" customHeight="1" x14ac:dyDescent="0.25">
      <c r="B69" s="523" t="s">
        <v>50</v>
      </c>
      <c r="C69" s="524"/>
      <c r="D69" s="524"/>
      <c r="E69" s="524"/>
      <c r="F69" s="524"/>
      <c r="G69" s="524"/>
      <c r="H69" s="524"/>
      <c r="I69" s="525"/>
      <c r="J69" s="81"/>
    </row>
    <row r="70" spans="2:10" ht="18.75" customHeight="1" x14ac:dyDescent="0.2">
      <c r="B70" s="117">
        <v>88261</v>
      </c>
      <c r="C70" s="527" t="s">
        <v>216</v>
      </c>
      <c r="D70" s="527"/>
      <c r="E70" s="527"/>
      <c r="F70" s="118" t="s">
        <v>88</v>
      </c>
      <c r="G70" s="119">
        <v>0.55000000000000004</v>
      </c>
      <c r="H70" s="120">
        <v>17.02</v>
      </c>
      <c r="I70" s="121">
        <f>ROUND(G70*H70,2)</f>
        <v>9.36</v>
      </c>
      <c r="J70" s="81"/>
    </row>
    <row r="71" spans="2:10" ht="18.75" customHeight="1" x14ac:dyDescent="0.2">
      <c r="B71" s="117">
        <v>88239</v>
      </c>
      <c r="C71" s="527" t="s">
        <v>217</v>
      </c>
      <c r="D71" s="527"/>
      <c r="E71" s="527"/>
      <c r="F71" s="118" t="s">
        <v>88</v>
      </c>
      <c r="G71" s="119">
        <v>0.55000000000000004</v>
      </c>
      <c r="H71" s="120">
        <v>14.09</v>
      </c>
      <c r="I71" s="121">
        <f>ROUND(G71*H71,2)</f>
        <v>7.75</v>
      </c>
      <c r="J71" s="81"/>
    </row>
    <row r="72" spans="2:10" ht="18.75" customHeight="1" x14ac:dyDescent="0.25">
      <c r="B72" s="506" t="s">
        <v>53</v>
      </c>
      <c r="C72" s="507"/>
      <c r="D72" s="507"/>
      <c r="E72" s="507"/>
      <c r="F72" s="507"/>
      <c r="G72" s="507"/>
      <c r="H72" s="507"/>
      <c r="I72" s="91">
        <f>SUM(I70:I71)</f>
        <v>17.11</v>
      </c>
      <c r="J72" s="81"/>
    </row>
    <row r="73" spans="2:10" ht="18.75" customHeight="1" x14ac:dyDescent="0.25">
      <c r="B73" s="523" t="s">
        <v>59</v>
      </c>
      <c r="C73" s="524"/>
      <c r="D73" s="524"/>
      <c r="E73" s="524"/>
      <c r="F73" s="524"/>
      <c r="G73" s="524"/>
      <c r="H73" s="524"/>
      <c r="I73" s="525"/>
      <c r="J73" s="81"/>
    </row>
    <row r="74" spans="2:10" ht="18.75" customHeight="1" x14ac:dyDescent="0.2">
      <c r="B74" s="117" t="s">
        <v>229</v>
      </c>
      <c r="C74" s="526" t="s">
        <v>230</v>
      </c>
      <c r="D74" s="526"/>
      <c r="E74" s="526"/>
      <c r="F74" s="118" t="s">
        <v>62</v>
      </c>
      <c r="G74" s="119">
        <v>1</v>
      </c>
      <c r="H74" s="124">
        <v>707.64</v>
      </c>
      <c r="I74" s="121">
        <f>ROUND(G74*H74,2)</f>
        <v>707.64</v>
      </c>
      <c r="J74" s="81"/>
    </row>
    <row r="75" spans="2:10" ht="18.75" customHeight="1" x14ac:dyDescent="0.2">
      <c r="B75" s="117" t="s">
        <v>220</v>
      </c>
      <c r="C75" s="526" t="s">
        <v>221</v>
      </c>
      <c r="D75" s="526"/>
      <c r="E75" s="526"/>
      <c r="F75" s="118" t="s">
        <v>91</v>
      </c>
      <c r="G75" s="119">
        <f>0.85*1.2*2</f>
        <v>2.04</v>
      </c>
      <c r="H75" s="123">
        <v>51.41</v>
      </c>
      <c r="I75" s="121">
        <f>ROUND(G75*H75,2)</f>
        <v>104.88</v>
      </c>
      <c r="J75" s="81"/>
    </row>
    <row r="76" spans="2:10" ht="18.75" customHeight="1" x14ac:dyDescent="0.25">
      <c r="B76" s="506" t="s">
        <v>60</v>
      </c>
      <c r="C76" s="507"/>
      <c r="D76" s="507"/>
      <c r="E76" s="507"/>
      <c r="F76" s="507"/>
      <c r="G76" s="507"/>
      <c r="H76" s="507"/>
      <c r="I76" s="91">
        <f>SUM(I74:I75)</f>
        <v>812.52</v>
      </c>
      <c r="J76" s="81"/>
    </row>
    <row r="77" spans="2:10" ht="18.75" customHeight="1" x14ac:dyDescent="0.25">
      <c r="B77" s="508"/>
      <c r="C77" s="509"/>
      <c r="D77" s="509"/>
      <c r="E77" s="509"/>
      <c r="F77" s="509"/>
      <c r="G77" s="509"/>
      <c r="H77" s="509"/>
      <c r="I77" s="510"/>
      <c r="J77" s="81"/>
    </row>
    <row r="78" spans="2:10" ht="18.75" customHeight="1" x14ac:dyDescent="0.25">
      <c r="B78" s="511"/>
      <c r="C78" s="512"/>
      <c r="D78" s="512"/>
      <c r="E78" s="512"/>
      <c r="F78" s="512"/>
      <c r="G78" s="512"/>
      <c r="H78" s="512"/>
      <c r="I78" s="92"/>
      <c r="J78" s="81"/>
    </row>
    <row r="79" spans="2:10" ht="18.75" customHeight="1" x14ac:dyDescent="0.25">
      <c r="B79" s="513" t="s">
        <v>56</v>
      </c>
      <c r="C79" s="514"/>
      <c r="D79" s="514"/>
      <c r="E79" s="514"/>
      <c r="F79" s="514"/>
      <c r="G79" s="514"/>
      <c r="H79" s="514"/>
      <c r="I79" s="93">
        <f>SUM(I70:I78)/2</f>
        <v>829.63</v>
      </c>
      <c r="J79" s="81"/>
    </row>
    <row r="80" spans="2:10" ht="18.75" customHeight="1" x14ac:dyDescent="0.25">
      <c r="B80" s="142"/>
      <c r="C80" s="143"/>
      <c r="D80" s="144"/>
      <c r="E80" s="144"/>
      <c r="F80" s="145"/>
      <c r="G80" s="145"/>
      <c r="H80" s="145"/>
      <c r="I80" s="146"/>
      <c r="J80" s="81"/>
    </row>
    <row r="81" spans="2:10" ht="29.25" customHeight="1" x14ac:dyDescent="0.25">
      <c r="B81" s="515" t="s">
        <v>233</v>
      </c>
      <c r="C81" s="516"/>
      <c r="D81" s="516"/>
      <c r="E81" s="516"/>
      <c r="F81" s="516"/>
      <c r="G81" s="516"/>
      <c r="H81" s="516"/>
      <c r="I81" s="517"/>
      <c r="J81" s="81"/>
    </row>
    <row r="82" spans="2:10" ht="18.75" customHeight="1" x14ac:dyDescent="0.25">
      <c r="B82" s="518" t="s">
        <v>57</v>
      </c>
      <c r="C82" s="519"/>
      <c r="D82" s="83">
        <f>I96</f>
        <v>956.33</v>
      </c>
      <c r="E82" s="84"/>
      <c r="F82" s="84"/>
      <c r="G82" s="85"/>
      <c r="H82" s="85"/>
      <c r="I82" s="86" t="s">
        <v>63</v>
      </c>
      <c r="J82" s="81"/>
    </row>
    <row r="83" spans="2:10" ht="18.75" customHeight="1" x14ac:dyDescent="0.25">
      <c r="B83" s="520"/>
      <c r="C83" s="521"/>
      <c r="D83" s="521"/>
      <c r="E83" s="521"/>
      <c r="F83" s="521"/>
      <c r="G83" s="521"/>
      <c r="H83" s="521"/>
      <c r="I83" s="522"/>
      <c r="J83" s="81"/>
    </row>
    <row r="84" spans="2:10" ht="18.75" customHeight="1" x14ac:dyDescent="0.25">
      <c r="B84" s="87" t="s">
        <v>44</v>
      </c>
      <c r="C84" s="88" t="s">
        <v>45</v>
      </c>
      <c r="D84" s="88"/>
      <c r="E84" s="88"/>
      <c r="F84" s="88" t="s">
        <v>46</v>
      </c>
      <c r="G84" s="88" t="s">
        <v>47</v>
      </c>
      <c r="H84" s="88" t="s">
        <v>48</v>
      </c>
      <c r="I84" s="89" t="s">
        <v>49</v>
      </c>
      <c r="J84" s="81"/>
    </row>
    <row r="85" spans="2:10" ht="18.75" customHeight="1" x14ac:dyDescent="0.25">
      <c r="B85" s="523" t="s">
        <v>50</v>
      </c>
      <c r="C85" s="524"/>
      <c r="D85" s="524"/>
      <c r="E85" s="524"/>
      <c r="F85" s="524"/>
      <c r="G85" s="524"/>
      <c r="H85" s="524"/>
      <c r="I85" s="525"/>
      <c r="J85" s="81"/>
    </row>
    <row r="86" spans="2:10" ht="18.75" customHeight="1" x14ac:dyDescent="0.2">
      <c r="B86" s="117">
        <v>88261</v>
      </c>
      <c r="C86" s="527" t="s">
        <v>216</v>
      </c>
      <c r="D86" s="527"/>
      <c r="E86" s="527"/>
      <c r="F86" s="118" t="s">
        <v>88</v>
      </c>
      <c r="G86" s="119">
        <v>0.55000000000000004</v>
      </c>
      <c r="H86" s="120">
        <v>17.02</v>
      </c>
      <c r="I86" s="121">
        <f>ROUND(G86*H86,2)</f>
        <v>9.36</v>
      </c>
      <c r="J86" s="81"/>
    </row>
    <row r="87" spans="2:10" ht="18.75" customHeight="1" x14ac:dyDescent="0.2">
      <c r="B87" s="117">
        <v>88239</v>
      </c>
      <c r="C87" s="527" t="s">
        <v>217</v>
      </c>
      <c r="D87" s="527"/>
      <c r="E87" s="527"/>
      <c r="F87" s="118" t="s">
        <v>88</v>
      </c>
      <c r="G87" s="119">
        <v>0.55000000000000004</v>
      </c>
      <c r="H87" s="120">
        <v>14.09</v>
      </c>
      <c r="I87" s="121">
        <f>ROUND(G87*H87,2)</f>
        <v>7.75</v>
      </c>
      <c r="J87" s="81"/>
    </row>
    <row r="88" spans="2:10" ht="18.75" customHeight="1" x14ac:dyDescent="0.25">
      <c r="B88" s="506" t="s">
        <v>53</v>
      </c>
      <c r="C88" s="507"/>
      <c r="D88" s="507"/>
      <c r="E88" s="507"/>
      <c r="F88" s="507"/>
      <c r="G88" s="507"/>
      <c r="H88" s="507"/>
      <c r="I88" s="91">
        <f>SUM(I86:I87)</f>
        <v>17.11</v>
      </c>
      <c r="J88" s="81"/>
    </row>
    <row r="89" spans="2:10" ht="18.75" customHeight="1" x14ac:dyDescent="0.25">
      <c r="B89" s="523" t="s">
        <v>59</v>
      </c>
      <c r="C89" s="524"/>
      <c r="D89" s="524"/>
      <c r="E89" s="524"/>
      <c r="F89" s="524"/>
      <c r="G89" s="524"/>
      <c r="H89" s="524"/>
      <c r="I89" s="525"/>
      <c r="J89" s="81"/>
    </row>
    <row r="90" spans="2:10" ht="18.75" customHeight="1" x14ac:dyDescent="0.2">
      <c r="B90" s="117" t="s">
        <v>229</v>
      </c>
      <c r="C90" s="526" t="s">
        <v>231</v>
      </c>
      <c r="D90" s="526"/>
      <c r="E90" s="526"/>
      <c r="F90" s="118" t="s">
        <v>62</v>
      </c>
      <c r="G90" s="119">
        <v>1</v>
      </c>
      <c r="H90" s="124">
        <v>787.64</v>
      </c>
      <c r="I90" s="121">
        <f>ROUND(G90*H90,2)</f>
        <v>787.64</v>
      </c>
      <c r="J90" s="81"/>
    </row>
    <row r="91" spans="2:10" ht="18.75" customHeight="1" x14ac:dyDescent="0.2">
      <c r="B91" s="117" t="s">
        <v>220</v>
      </c>
      <c r="C91" s="526" t="s">
        <v>221</v>
      </c>
      <c r="D91" s="526"/>
      <c r="E91" s="526"/>
      <c r="F91" s="118" t="s">
        <v>91</v>
      </c>
      <c r="G91" s="119">
        <f>0.85*1.6*2</f>
        <v>2.72</v>
      </c>
      <c r="H91" s="123">
        <v>51.41</v>
      </c>
      <c r="I91" s="121">
        <f>ROUND(G91*H91,2)</f>
        <v>139.84</v>
      </c>
      <c r="J91" s="81"/>
    </row>
    <row r="92" spans="2:10" ht="18.75" customHeight="1" x14ac:dyDescent="0.2">
      <c r="B92" s="117">
        <v>72117</v>
      </c>
      <c r="C92" s="526" t="s">
        <v>232</v>
      </c>
      <c r="D92" s="526"/>
      <c r="E92" s="526"/>
      <c r="F92" s="118" t="s">
        <v>91</v>
      </c>
      <c r="G92" s="119">
        <f>0.45*0.45</f>
        <v>0.20250000000000001</v>
      </c>
      <c r="H92" s="123">
        <v>115.93</v>
      </c>
      <c r="I92" s="121">
        <f>ROUND(G92*H92,2)</f>
        <v>23.48</v>
      </c>
      <c r="J92" s="81"/>
    </row>
    <row r="93" spans="2:10" ht="18.75" customHeight="1" x14ac:dyDescent="0.25">
      <c r="B93" s="506" t="s">
        <v>60</v>
      </c>
      <c r="C93" s="507"/>
      <c r="D93" s="507"/>
      <c r="E93" s="507"/>
      <c r="F93" s="507"/>
      <c r="G93" s="507"/>
      <c r="H93" s="507"/>
      <c r="I93" s="91">
        <f>SUM(I90:I91)</f>
        <v>927.48</v>
      </c>
      <c r="J93" s="81"/>
    </row>
    <row r="94" spans="2:10" ht="18.75" customHeight="1" x14ac:dyDescent="0.25">
      <c r="B94" s="508"/>
      <c r="C94" s="509"/>
      <c r="D94" s="509"/>
      <c r="E94" s="509"/>
      <c r="F94" s="509"/>
      <c r="G94" s="509"/>
      <c r="H94" s="509"/>
      <c r="I94" s="510"/>
      <c r="J94" s="81"/>
    </row>
    <row r="95" spans="2:10" ht="18.75" customHeight="1" x14ac:dyDescent="0.25">
      <c r="B95" s="511"/>
      <c r="C95" s="512"/>
      <c r="D95" s="512"/>
      <c r="E95" s="512"/>
      <c r="F95" s="512"/>
      <c r="G95" s="512"/>
      <c r="H95" s="512"/>
      <c r="I95" s="92"/>
      <c r="J95" s="81"/>
    </row>
    <row r="96" spans="2:10" ht="18.75" customHeight="1" x14ac:dyDescent="0.25">
      <c r="B96" s="513" t="s">
        <v>56</v>
      </c>
      <c r="C96" s="514"/>
      <c r="D96" s="514"/>
      <c r="E96" s="514"/>
      <c r="F96" s="514"/>
      <c r="G96" s="514"/>
      <c r="H96" s="514"/>
      <c r="I96" s="93">
        <f>SUM(I86:I95)/2</f>
        <v>956.33</v>
      </c>
      <c r="J96" s="81"/>
    </row>
    <row r="97" spans="2:10" ht="18.75" customHeight="1" x14ac:dyDescent="0.25">
      <c r="B97" s="142"/>
      <c r="C97" s="143"/>
      <c r="D97" s="144"/>
      <c r="E97" s="144"/>
      <c r="F97" s="145"/>
      <c r="G97" s="145"/>
      <c r="H97" s="145"/>
      <c r="I97" s="146"/>
      <c r="J97" s="81"/>
    </row>
    <row r="98" spans="2:10" ht="29.25" customHeight="1" x14ac:dyDescent="0.25">
      <c r="B98" s="515" t="s">
        <v>234</v>
      </c>
      <c r="C98" s="516"/>
      <c r="D98" s="516"/>
      <c r="E98" s="516"/>
      <c r="F98" s="516"/>
      <c r="G98" s="516"/>
      <c r="H98" s="516"/>
      <c r="I98" s="517"/>
      <c r="J98" s="81"/>
    </row>
    <row r="99" spans="2:10" ht="18.75" customHeight="1" x14ac:dyDescent="0.25">
      <c r="B99" s="518" t="s">
        <v>57</v>
      </c>
      <c r="C99" s="519"/>
      <c r="D99" s="83">
        <f>I223</f>
        <v>15</v>
      </c>
      <c r="E99" s="84"/>
      <c r="F99" s="84"/>
      <c r="G99" s="85"/>
      <c r="H99" s="85"/>
      <c r="I99" s="86" t="s">
        <v>235</v>
      </c>
      <c r="J99" s="81"/>
    </row>
    <row r="100" spans="2:10" ht="18.75" customHeight="1" x14ac:dyDescent="0.25">
      <c r="B100" s="520"/>
      <c r="C100" s="521"/>
      <c r="D100" s="521"/>
      <c r="E100" s="521"/>
      <c r="F100" s="521"/>
      <c r="G100" s="521"/>
      <c r="H100" s="521"/>
      <c r="I100" s="522"/>
      <c r="J100" s="81"/>
    </row>
    <row r="101" spans="2:10" ht="18.75" customHeight="1" x14ac:dyDescent="0.25">
      <c r="B101" s="87" t="s">
        <v>44</v>
      </c>
      <c r="C101" s="88" t="s">
        <v>45</v>
      </c>
      <c r="D101" s="88"/>
      <c r="E101" s="88"/>
      <c r="F101" s="88" t="s">
        <v>46</v>
      </c>
      <c r="G101" s="88" t="s">
        <v>47</v>
      </c>
      <c r="H101" s="88" t="s">
        <v>48</v>
      </c>
      <c r="I101" s="89" t="s">
        <v>49</v>
      </c>
      <c r="J101" s="81"/>
    </row>
    <row r="102" spans="2:10" ht="18.75" customHeight="1" x14ac:dyDescent="0.25">
      <c r="B102" s="523" t="s">
        <v>50</v>
      </c>
      <c r="C102" s="524"/>
      <c r="D102" s="524"/>
      <c r="E102" s="524"/>
      <c r="F102" s="524"/>
      <c r="G102" s="524"/>
      <c r="H102" s="524"/>
      <c r="I102" s="525"/>
      <c r="J102" s="81"/>
    </row>
    <row r="103" spans="2:10" ht="18.75" customHeight="1" x14ac:dyDescent="0.2">
      <c r="B103" s="117">
        <v>88316</v>
      </c>
      <c r="C103" s="527" t="s">
        <v>236</v>
      </c>
      <c r="D103" s="527"/>
      <c r="E103" s="527"/>
      <c r="F103" s="118" t="s">
        <v>88</v>
      </c>
      <c r="G103" s="119">
        <v>3</v>
      </c>
      <c r="H103" s="120">
        <v>13.12</v>
      </c>
      <c r="I103" s="121">
        <f>ROUND(G103*H103,2)</f>
        <v>39.36</v>
      </c>
      <c r="J103" s="81"/>
    </row>
    <row r="104" spans="2:10" ht="18.75" customHeight="1" x14ac:dyDescent="0.25">
      <c r="B104" s="506" t="s">
        <v>53</v>
      </c>
      <c r="C104" s="507"/>
      <c r="D104" s="507"/>
      <c r="E104" s="507"/>
      <c r="F104" s="507"/>
      <c r="G104" s="507"/>
      <c r="H104" s="507"/>
      <c r="I104" s="91">
        <f>SUM(I103)</f>
        <v>39.36</v>
      </c>
      <c r="J104" s="81"/>
    </row>
    <row r="105" spans="2:10" ht="18.75" customHeight="1" x14ac:dyDescent="0.25">
      <c r="B105" s="523" t="s">
        <v>59</v>
      </c>
      <c r="C105" s="524"/>
      <c r="D105" s="524"/>
      <c r="E105" s="524"/>
      <c r="F105" s="524"/>
      <c r="G105" s="524"/>
      <c r="H105" s="524"/>
      <c r="I105" s="525"/>
      <c r="J105" s="81"/>
    </row>
    <row r="106" spans="2:10" ht="18.75" customHeight="1" x14ac:dyDescent="0.2">
      <c r="B106" s="280" t="s">
        <v>238</v>
      </c>
      <c r="C106" s="527" t="s">
        <v>237</v>
      </c>
      <c r="D106" s="527"/>
      <c r="E106" s="527"/>
      <c r="F106" s="118" t="s">
        <v>90</v>
      </c>
      <c r="G106" s="119">
        <v>1.1000000000000001</v>
      </c>
      <c r="H106" s="120">
        <v>47.5</v>
      </c>
      <c r="I106" s="121">
        <f>ROUND(G106*H106,2)</f>
        <v>52.25</v>
      </c>
      <c r="J106" s="81"/>
    </row>
    <row r="107" spans="2:10" ht="18.75" customHeight="1" x14ac:dyDescent="0.25">
      <c r="B107" s="506" t="s">
        <v>60</v>
      </c>
      <c r="C107" s="507"/>
      <c r="D107" s="507"/>
      <c r="E107" s="507"/>
      <c r="F107" s="507"/>
      <c r="G107" s="507"/>
      <c r="H107" s="507"/>
      <c r="I107" s="91">
        <f>SUM(I106)</f>
        <v>52.25</v>
      </c>
      <c r="J107" s="81"/>
    </row>
    <row r="108" spans="2:10" ht="18.75" customHeight="1" x14ac:dyDescent="0.25">
      <c r="B108" s="508"/>
      <c r="C108" s="509"/>
      <c r="D108" s="509"/>
      <c r="E108" s="509"/>
      <c r="F108" s="509"/>
      <c r="G108" s="509"/>
      <c r="H108" s="509"/>
      <c r="I108" s="510"/>
      <c r="J108" s="81"/>
    </row>
    <row r="109" spans="2:10" ht="18.75" customHeight="1" x14ac:dyDescent="0.25">
      <c r="B109" s="511"/>
      <c r="C109" s="512"/>
      <c r="D109" s="512"/>
      <c r="E109" s="512"/>
      <c r="F109" s="512"/>
      <c r="G109" s="512"/>
      <c r="H109" s="512"/>
      <c r="I109" s="92"/>
      <c r="J109" s="81"/>
    </row>
    <row r="110" spans="2:10" ht="18.75" customHeight="1" x14ac:dyDescent="0.25">
      <c r="B110" s="513" t="s">
        <v>56</v>
      </c>
      <c r="C110" s="514"/>
      <c r="D110" s="514"/>
      <c r="E110" s="514"/>
      <c r="F110" s="514"/>
      <c r="G110" s="514"/>
      <c r="H110" s="514"/>
      <c r="I110" s="93">
        <f>SUM(I103:J109)/2</f>
        <v>91.61</v>
      </c>
      <c r="J110" s="81"/>
    </row>
    <row r="111" spans="2:10" ht="18.75" customHeight="1" x14ac:dyDescent="0.25">
      <c r="B111" s="142"/>
      <c r="C111" s="143"/>
      <c r="D111" s="144"/>
      <c r="E111" s="144"/>
      <c r="F111" s="145"/>
      <c r="G111" s="145"/>
      <c r="H111" s="145"/>
      <c r="I111" s="146"/>
      <c r="J111" s="81"/>
    </row>
    <row r="112" spans="2:10" ht="29.25" customHeight="1" x14ac:dyDescent="0.25">
      <c r="B112" s="515" t="s">
        <v>248</v>
      </c>
      <c r="C112" s="516"/>
      <c r="D112" s="516"/>
      <c r="E112" s="516"/>
      <c r="F112" s="516"/>
      <c r="G112" s="516"/>
      <c r="H112" s="516"/>
      <c r="I112" s="517"/>
      <c r="J112" s="81"/>
    </row>
    <row r="113" spans="2:10" ht="18.75" customHeight="1" x14ac:dyDescent="0.25">
      <c r="B113" s="518" t="s">
        <v>57</v>
      </c>
      <c r="C113" s="519"/>
      <c r="D113" s="83">
        <f>I126</f>
        <v>399.952</v>
      </c>
      <c r="E113" s="84"/>
      <c r="F113" s="84"/>
      <c r="G113" s="85"/>
      <c r="H113" s="85"/>
      <c r="I113" s="86" t="s">
        <v>235</v>
      </c>
      <c r="J113" s="81"/>
    </row>
    <row r="114" spans="2:10" ht="18.75" customHeight="1" x14ac:dyDescent="0.25">
      <c r="B114" s="520"/>
      <c r="C114" s="521"/>
      <c r="D114" s="521"/>
      <c r="E114" s="521"/>
      <c r="F114" s="521"/>
      <c r="G114" s="521"/>
      <c r="H114" s="521"/>
      <c r="I114" s="522"/>
      <c r="J114" s="81"/>
    </row>
    <row r="115" spans="2:10" ht="18.75" customHeight="1" x14ac:dyDescent="0.25">
      <c r="B115" s="87" t="s">
        <v>44</v>
      </c>
      <c r="C115" s="88" t="s">
        <v>45</v>
      </c>
      <c r="D115" s="88"/>
      <c r="E115" s="88"/>
      <c r="F115" s="88" t="s">
        <v>46</v>
      </c>
      <c r="G115" s="88" t="s">
        <v>47</v>
      </c>
      <c r="H115" s="88" t="s">
        <v>48</v>
      </c>
      <c r="I115" s="89" t="s">
        <v>49</v>
      </c>
      <c r="J115" s="81"/>
    </row>
    <row r="116" spans="2:10" ht="18.75" customHeight="1" x14ac:dyDescent="0.25">
      <c r="B116" s="523" t="s">
        <v>50</v>
      </c>
      <c r="C116" s="524"/>
      <c r="D116" s="524"/>
      <c r="E116" s="524"/>
      <c r="F116" s="524"/>
      <c r="G116" s="524"/>
      <c r="H116" s="524"/>
      <c r="I116" s="525"/>
      <c r="J116" s="81"/>
    </row>
    <row r="117" spans="2:10" ht="18.75" customHeight="1" x14ac:dyDescent="0.2">
      <c r="B117" s="117">
        <v>88309</v>
      </c>
      <c r="C117" s="527" t="s">
        <v>239</v>
      </c>
      <c r="D117" s="527"/>
      <c r="E117" s="527"/>
      <c r="F117" s="118" t="s">
        <v>88</v>
      </c>
      <c r="G117" s="119">
        <v>6</v>
      </c>
      <c r="H117" s="120">
        <v>16.54</v>
      </c>
      <c r="I117" s="121">
        <f>G117*H117</f>
        <v>99.24</v>
      </c>
      <c r="J117" s="81"/>
    </row>
    <row r="118" spans="2:10" ht="18.75" customHeight="1" x14ac:dyDescent="0.2">
      <c r="B118" s="117">
        <v>88316</v>
      </c>
      <c r="C118" s="527" t="s">
        <v>236</v>
      </c>
      <c r="D118" s="527"/>
      <c r="E118" s="527"/>
      <c r="F118" s="118" t="s">
        <v>88</v>
      </c>
      <c r="G118" s="119">
        <v>6</v>
      </c>
      <c r="H118" s="120">
        <v>13.12</v>
      </c>
      <c r="I118" s="121">
        <f>G118*H118</f>
        <v>78.72</v>
      </c>
      <c r="J118" s="81"/>
    </row>
    <row r="119" spans="2:10" ht="18.75" customHeight="1" x14ac:dyDescent="0.25">
      <c r="B119" s="506" t="s">
        <v>53</v>
      </c>
      <c r="C119" s="507"/>
      <c r="D119" s="507"/>
      <c r="E119" s="507"/>
      <c r="F119" s="507"/>
      <c r="G119" s="507"/>
      <c r="H119" s="507"/>
      <c r="I119" s="91">
        <f>SUM(I117:I118)</f>
        <v>177.95999999999998</v>
      </c>
      <c r="J119" s="81"/>
    </row>
    <row r="120" spans="2:10" ht="18.75" customHeight="1" x14ac:dyDescent="0.25">
      <c r="B120" s="523" t="s">
        <v>59</v>
      </c>
      <c r="C120" s="524"/>
      <c r="D120" s="524"/>
      <c r="E120" s="524"/>
      <c r="F120" s="524"/>
      <c r="G120" s="524"/>
      <c r="H120" s="524"/>
      <c r="I120" s="525"/>
      <c r="J120" s="81"/>
    </row>
    <row r="121" spans="2:10" ht="33" customHeight="1" x14ac:dyDescent="0.25">
      <c r="B121" s="280" t="s">
        <v>251</v>
      </c>
      <c r="C121" s="580" t="s">
        <v>249</v>
      </c>
      <c r="D121" s="580"/>
      <c r="E121" s="580"/>
      <c r="F121" s="281" t="s">
        <v>90</v>
      </c>
      <c r="G121" s="282">
        <v>1.1000000000000001</v>
      </c>
      <c r="H121" s="124">
        <v>115.01</v>
      </c>
      <c r="I121" s="121">
        <f>G121*H121</f>
        <v>126.51100000000001</v>
      </c>
      <c r="J121" s="81"/>
    </row>
    <row r="122" spans="2:10" ht="33" customHeight="1" x14ac:dyDescent="0.25">
      <c r="B122" s="117">
        <v>87316</v>
      </c>
      <c r="C122" s="580" t="s">
        <v>250</v>
      </c>
      <c r="D122" s="580"/>
      <c r="E122" s="580"/>
      <c r="F122" s="281" t="s">
        <v>90</v>
      </c>
      <c r="G122" s="282">
        <v>0.3</v>
      </c>
      <c r="H122" s="123">
        <v>318.27</v>
      </c>
      <c r="I122" s="121">
        <f>G122*H122</f>
        <v>95.480999999999995</v>
      </c>
      <c r="J122" s="81"/>
    </row>
    <row r="123" spans="2:10" ht="18.75" customHeight="1" x14ac:dyDescent="0.25">
      <c r="B123" s="506" t="s">
        <v>60</v>
      </c>
      <c r="C123" s="507"/>
      <c r="D123" s="507"/>
      <c r="E123" s="507"/>
      <c r="F123" s="507"/>
      <c r="G123" s="507"/>
      <c r="H123" s="507"/>
      <c r="I123" s="91">
        <f>SUM(I121:I122)</f>
        <v>221.99200000000002</v>
      </c>
      <c r="J123" s="81"/>
    </row>
    <row r="124" spans="2:10" ht="18.75" customHeight="1" x14ac:dyDescent="0.25">
      <c r="B124" s="508"/>
      <c r="C124" s="509"/>
      <c r="D124" s="509"/>
      <c r="E124" s="509"/>
      <c r="F124" s="509"/>
      <c r="G124" s="509"/>
      <c r="H124" s="509"/>
      <c r="I124" s="510"/>
      <c r="J124" s="81"/>
    </row>
    <row r="125" spans="2:10" ht="18.75" customHeight="1" x14ac:dyDescent="0.25">
      <c r="B125" s="511"/>
      <c r="C125" s="512"/>
      <c r="D125" s="512"/>
      <c r="E125" s="512"/>
      <c r="F125" s="512"/>
      <c r="G125" s="512"/>
      <c r="H125" s="512"/>
      <c r="I125" s="92"/>
      <c r="J125" s="81"/>
    </row>
    <row r="126" spans="2:10" ht="18.75" customHeight="1" x14ac:dyDescent="0.25">
      <c r="B126" s="513" t="s">
        <v>56</v>
      </c>
      <c r="C126" s="514"/>
      <c r="D126" s="514"/>
      <c r="E126" s="514"/>
      <c r="F126" s="514"/>
      <c r="G126" s="514"/>
      <c r="H126" s="514"/>
      <c r="I126" s="93">
        <f>SUM(I117:I125)/2</f>
        <v>399.952</v>
      </c>
      <c r="J126" s="81"/>
    </row>
    <row r="127" spans="2:10" ht="18.75" customHeight="1" x14ac:dyDescent="0.25">
      <c r="B127" s="142"/>
      <c r="C127" s="143"/>
      <c r="D127" s="144"/>
      <c r="E127" s="144"/>
      <c r="F127" s="145"/>
      <c r="G127" s="145"/>
      <c r="H127" s="145"/>
      <c r="I127" s="146"/>
      <c r="J127" s="81"/>
    </row>
    <row r="128" spans="2:10" ht="29.25" customHeight="1" x14ac:dyDescent="0.25">
      <c r="B128" s="515" t="s">
        <v>279</v>
      </c>
      <c r="C128" s="516"/>
      <c r="D128" s="516"/>
      <c r="E128" s="516"/>
      <c r="F128" s="516"/>
      <c r="G128" s="516"/>
      <c r="H128" s="516"/>
      <c r="I128" s="517"/>
      <c r="J128" s="81"/>
    </row>
    <row r="129" spans="2:10" ht="18.75" customHeight="1" x14ac:dyDescent="0.25">
      <c r="B129" s="518" t="s">
        <v>57</v>
      </c>
      <c r="C129" s="519"/>
      <c r="D129" s="83">
        <f>I158</f>
        <v>1952.58</v>
      </c>
      <c r="E129" s="84"/>
      <c r="F129" s="84"/>
      <c r="G129" s="85"/>
      <c r="H129" s="85"/>
      <c r="I129" s="86" t="s">
        <v>235</v>
      </c>
      <c r="J129" s="81"/>
    </row>
    <row r="130" spans="2:10" ht="18.75" customHeight="1" x14ac:dyDescent="0.25">
      <c r="B130" s="520"/>
      <c r="C130" s="521"/>
      <c r="D130" s="521"/>
      <c r="E130" s="521"/>
      <c r="F130" s="521"/>
      <c r="G130" s="521"/>
      <c r="H130" s="521"/>
      <c r="I130" s="522"/>
      <c r="J130" s="81"/>
    </row>
    <row r="131" spans="2:10" ht="18.75" customHeight="1" x14ac:dyDescent="0.25">
      <c r="B131" s="87" t="s">
        <v>44</v>
      </c>
      <c r="C131" s="88" t="s">
        <v>45</v>
      </c>
      <c r="D131" s="88"/>
      <c r="E131" s="88"/>
      <c r="F131" s="88" t="s">
        <v>46</v>
      </c>
      <c r="G131" s="88" t="s">
        <v>47</v>
      </c>
      <c r="H131" s="88" t="s">
        <v>48</v>
      </c>
      <c r="I131" s="89" t="s">
        <v>49</v>
      </c>
      <c r="J131" s="81"/>
    </row>
    <row r="132" spans="2:10" ht="18.75" customHeight="1" x14ac:dyDescent="0.25">
      <c r="B132" s="523" t="s">
        <v>50</v>
      </c>
      <c r="C132" s="524"/>
      <c r="D132" s="524"/>
      <c r="E132" s="524"/>
      <c r="F132" s="524"/>
      <c r="G132" s="524"/>
      <c r="H132" s="524"/>
      <c r="I132" s="525"/>
      <c r="J132" s="81"/>
    </row>
    <row r="133" spans="2:10" ht="18.75" customHeight="1" x14ac:dyDescent="0.2">
      <c r="B133" s="117">
        <v>88245</v>
      </c>
      <c r="C133" s="527" t="s">
        <v>252</v>
      </c>
      <c r="D133" s="527"/>
      <c r="E133" s="527"/>
      <c r="F133" s="118" t="s">
        <v>51</v>
      </c>
      <c r="G133" s="283">
        <v>6.15</v>
      </c>
      <c r="H133" s="120">
        <v>16.45</v>
      </c>
      <c r="I133" s="121">
        <f>ROUND(G133*H133,2)</f>
        <v>101.17</v>
      </c>
      <c r="J133" s="81"/>
    </row>
    <row r="134" spans="2:10" ht="18.75" customHeight="1" x14ac:dyDescent="0.2">
      <c r="B134" s="117">
        <v>88262</v>
      </c>
      <c r="C134" s="527" t="s">
        <v>253</v>
      </c>
      <c r="D134" s="527"/>
      <c r="E134" s="527"/>
      <c r="F134" s="118" t="s">
        <v>51</v>
      </c>
      <c r="G134" s="283">
        <v>0.5</v>
      </c>
      <c r="H134" s="120">
        <v>16.45</v>
      </c>
      <c r="I134" s="121">
        <f>ROUND(G134*H134,2)</f>
        <v>8.23</v>
      </c>
      <c r="J134" s="81"/>
    </row>
    <row r="135" spans="2:10" ht="14.25" x14ac:dyDescent="0.2">
      <c r="B135" s="117">
        <v>88297</v>
      </c>
      <c r="C135" s="527" t="s">
        <v>254</v>
      </c>
      <c r="D135" s="527"/>
      <c r="E135" s="527"/>
      <c r="F135" s="118" t="s">
        <v>51</v>
      </c>
      <c r="G135" s="283">
        <v>0.5</v>
      </c>
      <c r="H135" s="120">
        <v>17.149999999999999</v>
      </c>
      <c r="I135" s="121">
        <f>ROUND(G135*H135,2)</f>
        <v>8.58</v>
      </c>
      <c r="J135" s="81"/>
    </row>
    <row r="136" spans="2:10" ht="18.75" customHeight="1" x14ac:dyDescent="0.2">
      <c r="B136" s="117">
        <v>88309</v>
      </c>
      <c r="C136" s="527" t="s">
        <v>239</v>
      </c>
      <c r="D136" s="527"/>
      <c r="E136" s="527"/>
      <c r="F136" s="118" t="s">
        <v>51</v>
      </c>
      <c r="G136" s="283">
        <v>4</v>
      </c>
      <c r="H136" s="120">
        <v>16.54</v>
      </c>
      <c r="I136" s="121">
        <f>ROUND(G136*H136,2)</f>
        <v>66.16</v>
      </c>
      <c r="J136" s="81"/>
    </row>
    <row r="137" spans="2:10" ht="18.75" customHeight="1" x14ac:dyDescent="0.2">
      <c r="B137" s="117">
        <v>88316</v>
      </c>
      <c r="C137" s="527" t="s">
        <v>236</v>
      </c>
      <c r="D137" s="527"/>
      <c r="E137" s="527"/>
      <c r="F137" s="118" t="s">
        <v>51</v>
      </c>
      <c r="G137" s="283">
        <v>6.15</v>
      </c>
      <c r="H137" s="120">
        <v>13.12</v>
      </c>
      <c r="I137" s="121">
        <f>ROUND(G137*H137,2)</f>
        <v>80.69</v>
      </c>
      <c r="J137" s="81"/>
    </row>
    <row r="138" spans="2:10" ht="18.75" customHeight="1" x14ac:dyDescent="0.25">
      <c r="B138" s="506" t="s">
        <v>53</v>
      </c>
      <c r="C138" s="507"/>
      <c r="D138" s="507"/>
      <c r="E138" s="507"/>
      <c r="F138" s="507"/>
      <c r="G138" s="507"/>
      <c r="H138" s="507"/>
      <c r="I138" s="91">
        <f>SUM(I133:I137)</f>
        <v>264.83</v>
      </c>
      <c r="J138" s="81"/>
    </row>
    <row r="139" spans="2:10" ht="18.75" customHeight="1" x14ac:dyDescent="0.25">
      <c r="B139" s="523" t="s">
        <v>59</v>
      </c>
      <c r="C139" s="524"/>
      <c r="D139" s="524"/>
      <c r="E139" s="524"/>
      <c r="F139" s="524"/>
      <c r="G139" s="524"/>
      <c r="H139" s="524"/>
      <c r="I139" s="525"/>
      <c r="J139" s="81"/>
    </row>
    <row r="140" spans="2:10" ht="14.25" x14ac:dyDescent="0.2">
      <c r="B140" s="280" t="s">
        <v>270</v>
      </c>
      <c r="C140" s="527" t="s">
        <v>255</v>
      </c>
      <c r="D140" s="527"/>
      <c r="E140" s="527"/>
      <c r="F140" s="118" t="s">
        <v>75</v>
      </c>
      <c r="G140" s="119">
        <v>5</v>
      </c>
      <c r="H140" s="124">
        <v>2.95</v>
      </c>
      <c r="I140" s="121">
        <f>ROUND(G140*H140,2)</f>
        <v>14.75</v>
      </c>
      <c r="J140" s="81"/>
    </row>
    <row r="141" spans="2:10" ht="14.25" x14ac:dyDescent="0.2">
      <c r="B141" s="280" t="s">
        <v>271</v>
      </c>
      <c r="C141" s="527" t="s">
        <v>256</v>
      </c>
      <c r="D141" s="527"/>
      <c r="E141" s="527"/>
      <c r="F141" s="118" t="s">
        <v>75</v>
      </c>
      <c r="G141" s="119">
        <v>10</v>
      </c>
      <c r="H141" s="124">
        <v>2.75</v>
      </c>
      <c r="I141" s="121">
        <f t="shared" ref="I141:I154" si="0">ROUND(G141*H141,2)</f>
        <v>27.5</v>
      </c>
      <c r="J141" s="81"/>
    </row>
    <row r="142" spans="2:10" ht="14.25" x14ac:dyDescent="0.2">
      <c r="B142" s="280" t="s">
        <v>272</v>
      </c>
      <c r="C142" s="527" t="s">
        <v>257</v>
      </c>
      <c r="D142" s="527"/>
      <c r="E142" s="527"/>
      <c r="F142" s="118" t="s">
        <v>75</v>
      </c>
      <c r="G142" s="119">
        <v>12</v>
      </c>
      <c r="H142" s="124">
        <v>2.95</v>
      </c>
      <c r="I142" s="121">
        <f t="shared" si="0"/>
        <v>35.4</v>
      </c>
      <c r="J142" s="81"/>
    </row>
    <row r="143" spans="2:10" ht="14.25" x14ac:dyDescent="0.2">
      <c r="B143" s="280" t="s">
        <v>273</v>
      </c>
      <c r="C143" s="527" t="s">
        <v>258</v>
      </c>
      <c r="D143" s="527"/>
      <c r="E143" s="527"/>
      <c r="F143" s="118" t="s">
        <v>75</v>
      </c>
      <c r="G143" s="119">
        <v>10</v>
      </c>
      <c r="H143" s="124">
        <v>3.24</v>
      </c>
      <c r="I143" s="121">
        <f t="shared" si="0"/>
        <v>32.4</v>
      </c>
      <c r="J143" s="81"/>
    </row>
    <row r="144" spans="2:10" ht="14.25" x14ac:dyDescent="0.2">
      <c r="B144" s="280" t="s">
        <v>274</v>
      </c>
      <c r="C144" s="527" t="s">
        <v>259</v>
      </c>
      <c r="D144" s="527"/>
      <c r="E144" s="527"/>
      <c r="F144" s="118" t="s">
        <v>75</v>
      </c>
      <c r="G144" s="119">
        <v>12</v>
      </c>
      <c r="H144" s="124">
        <v>3.64</v>
      </c>
      <c r="I144" s="121">
        <f t="shared" si="0"/>
        <v>43.68</v>
      </c>
      <c r="J144" s="81"/>
    </row>
    <row r="145" spans="2:10" ht="14.25" x14ac:dyDescent="0.2">
      <c r="B145" s="280" t="s">
        <v>275</v>
      </c>
      <c r="C145" s="527" t="s">
        <v>260</v>
      </c>
      <c r="D145" s="527"/>
      <c r="E145" s="527"/>
      <c r="F145" s="118" t="s">
        <v>75</v>
      </c>
      <c r="G145" s="119">
        <v>12</v>
      </c>
      <c r="H145" s="124">
        <v>3.1</v>
      </c>
      <c r="I145" s="121">
        <f t="shared" si="0"/>
        <v>37.200000000000003</v>
      </c>
      <c r="J145" s="81"/>
    </row>
    <row r="146" spans="2:10" ht="14.25" x14ac:dyDescent="0.2">
      <c r="B146" s="280" t="s">
        <v>276</v>
      </c>
      <c r="C146" s="527" t="s">
        <v>261</v>
      </c>
      <c r="D146" s="527"/>
      <c r="E146" s="527"/>
      <c r="F146" s="118" t="s">
        <v>75</v>
      </c>
      <c r="G146" s="119">
        <v>1.8</v>
      </c>
      <c r="H146" s="124">
        <v>9</v>
      </c>
      <c r="I146" s="121">
        <f t="shared" si="0"/>
        <v>16.2</v>
      </c>
      <c r="J146" s="81"/>
    </row>
    <row r="147" spans="2:10" ht="14.25" x14ac:dyDescent="0.2">
      <c r="B147" s="117">
        <v>94963</v>
      </c>
      <c r="C147" s="527" t="s">
        <v>262</v>
      </c>
      <c r="D147" s="527"/>
      <c r="E147" s="527"/>
      <c r="F147" s="118" t="s">
        <v>90</v>
      </c>
      <c r="G147" s="119">
        <v>1</v>
      </c>
      <c r="H147" s="124">
        <v>287.20999999999998</v>
      </c>
      <c r="I147" s="121">
        <f t="shared" si="0"/>
        <v>287.20999999999998</v>
      </c>
      <c r="J147" s="81"/>
    </row>
    <row r="148" spans="2:10" ht="14.25" x14ac:dyDescent="0.2">
      <c r="B148" s="117"/>
      <c r="C148" s="527" t="s">
        <v>263</v>
      </c>
      <c r="D148" s="527"/>
      <c r="E148" s="527"/>
      <c r="F148" s="118" t="s">
        <v>51</v>
      </c>
      <c r="G148" s="119">
        <v>0.27500000000000002</v>
      </c>
      <c r="H148" s="124"/>
      <c r="I148" s="121">
        <f t="shared" si="0"/>
        <v>0</v>
      </c>
      <c r="J148" s="81"/>
    </row>
    <row r="149" spans="2:10" ht="14.25" x14ac:dyDescent="0.2">
      <c r="B149" s="117">
        <v>73343</v>
      </c>
      <c r="C149" s="527" t="s">
        <v>277</v>
      </c>
      <c r="D149" s="527"/>
      <c r="E149" s="527"/>
      <c r="F149" s="118" t="s">
        <v>51</v>
      </c>
      <c r="G149" s="119">
        <v>0.4</v>
      </c>
      <c r="H149" s="124">
        <v>0.31</v>
      </c>
      <c r="I149" s="121">
        <f t="shared" si="0"/>
        <v>0.12</v>
      </c>
      <c r="J149" s="81"/>
    </row>
    <row r="150" spans="2:10" ht="14.25" x14ac:dyDescent="0.2">
      <c r="B150" s="117">
        <v>90582</v>
      </c>
      <c r="C150" s="527" t="s">
        <v>264</v>
      </c>
      <c r="D150" s="527"/>
      <c r="E150" s="527"/>
      <c r="F150" s="118" t="s">
        <v>51</v>
      </c>
      <c r="G150" s="119">
        <v>0.6</v>
      </c>
      <c r="H150" s="124">
        <v>0.95</v>
      </c>
      <c r="I150" s="121">
        <f t="shared" si="0"/>
        <v>0.56999999999999995</v>
      </c>
      <c r="J150" s="81"/>
    </row>
    <row r="151" spans="2:10" ht="14.25" x14ac:dyDescent="0.2">
      <c r="B151" s="117"/>
      <c r="C151" s="527" t="s">
        <v>265</v>
      </c>
      <c r="D151" s="527"/>
      <c r="E151" s="527"/>
      <c r="F151" s="118" t="s">
        <v>51</v>
      </c>
      <c r="G151" s="119">
        <v>0.22500000000000001</v>
      </c>
      <c r="H151" s="124"/>
      <c r="I151" s="121">
        <f t="shared" si="0"/>
        <v>0</v>
      </c>
      <c r="J151" s="81"/>
    </row>
    <row r="152" spans="2:10" ht="14.25" x14ac:dyDescent="0.2">
      <c r="B152" s="117">
        <v>73301</v>
      </c>
      <c r="C152" s="527" t="s">
        <v>266</v>
      </c>
      <c r="D152" s="527"/>
      <c r="E152" s="527"/>
      <c r="F152" s="118" t="s">
        <v>90</v>
      </c>
      <c r="G152" s="119">
        <v>25.2</v>
      </c>
      <c r="H152" s="124">
        <v>10.09</v>
      </c>
      <c r="I152" s="121">
        <f t="shared" si="0"/>
        <v>254.27</v>
      </c>
      <c r="J152" s="81"/>
    </row>
    <row r="153" spans="2:10" ht="14.25" x14ac:dyDescent="0.2">
      <c r="B153" s="117" t="s">
        <v>278</v>
      </c>
      <c r="C153" s="527" t="s">
        <v>267</v>
      </c>
      <c r="D153" s="527"/>
      <c r="E153" s="527"/>
      <c r="F153" s="118" t="s">
        <v>91</v>
      </c>
      <c r="G153" s="119">
        <v>14</v>
      </c>
      <c r="H153" s="124">
        <v>66.989999999999995</v>
      </c>
      <c r="I153" s="121">
        <f t="shared" si="0"/>
        <v>937.86</v>
      </c>
      <c r="J153" s="81"/>
    </row>
    <row r="154" spans="2:10" ht="14.25" x14ac:dyDescent="0.2">
      <c r="B154" s="117">
        <v>88830</v>
      </c>
      <c r="C154" s="527" t="s">
        <v>268</v>
      </c>
      <c r="D154" s="527"/>
      <c r="E154" s="527"/>
      <c r="F154" s="118" t="s">
        <v>269</v>
      </c>
      <c r="G154" s="119">
        <v>0.5</v>
      </c>
      <c r="H154" s="124">
        <v>1.17</v>
      </c>
      <c r="I154" s="121">
        <f t="shared" si="0"/>
        <v>0.59</v>
      </c>
      <c r="J154" s="81"/>
    </row>
    <row r="155" spans="2:10" ht="18.75" customHeight="1" x14ac:dyDescent="0.25">
      <c r="B155" s="506" t="s">
        <v>60</v>
      </c>
      <c r="C155" s="507"/>
      <c r="D155" s="507"/>
      <c r="E155" s="507"/>
      <c r="F155" s="507"/>
      <c r="G155" s="507"/>
      <c r="H155" s="507"/>
      <c r="I155" s="91">
        <f>SUM(I140:I154)</f>
        <v>1687.7499999999998</v>
      </c>
      <c r="J155" s="81"/>
    </row>
    <row r="156" spans="2:10" ht="18.75" customHeight="1" x14ac:dyDescent="0.25">
      <c r="B156" s="508"/>
      <c r="C156" s="509"/>
      <c r="D156" s="509"/>
      <c r="E156" s="509"/>
      <c r="F156" s="509"/>
      <c r="G156" s="509"/>
      <c r="H156" s="509"/>
      <c r="I156" s="510"/>
      <c r="J156" s="81"/>
    </row>
    <row r="157" spans="2:10" ht="18.75" customHeight="1" x14ac:dyDescent="0.25">
      <c r="B157" s="511"/>
      <c r="C157" s="512"/>
      <c r="D157" s="512"/>
      <c r="E157" s="512"/>
      <c r="F157" s="512"/>
      <c r="G157" s="512"/>
      <c r="H157" s="512"/>
      <c r="I157" s="92"/>
      <c r="J157" s="81"/>
    </row>
    <row r="158" spans="2:10" ht="18.75" customHeight="1" x14ac:dyDescent="0.25">
      <c r="B158" s="513" t="s">
        <v>56</v>
      </c>
      <c r="C158" s="514"/>
      <c r="D158" s="514"/>
      <c r="E158" s="514"/>
      <c r="F158" s="514"/>
      <c r="G158" s="514"/>
      <c r="H158" s="514"/>
      <c r="I158" s="93">
        <f>SUM(I133:I157)/2</f>
        <v>1952.58</v>
      </c>
      <c r="J158" s="81"/>
    </row>
    <row r="159" spans="2:10" ht="18.75" customHeight="1" x14ac:dyDescent="0.25">
      <c r="B159" s="142"/>
      <c r="C159" s="143"/>
      <c r="D159" s="144"/>
      <c r="E159" s="144"/>
      <c r="F159" s="145"/>
      <c r="G159" s="145"/>
      <c r="H159" s="145"/>
      <c r="I159" s="146"/>
      <c r="J159" s="81"/>
    </row>
    <row r="160" spans="2:10" ht="29.25" customHeight="1" x14ac:dyDescent="0.25">
      <c r="B160" s="515" t="s">
        <v>212</v>
      </c>
      <c r="C160" s="516"/>
      <c r="D160" s="516"/>
      <c r="E160" s="516"/>
      <c r="F160" s="516"/>
      <c r="G160" s="516"/>
      <c r="H160" s="516"/>
      <c r="I160" s="517"/>
      <c r="J160" s="81"/>
    </row>
    <row r="161" spans="2:10" ht="18.75" customHeight="1" x14ac:dyDescent="0.25">
      <c r="B161" s="518" t="s">
        <v>57</v>
      </c>
      <c r="C161" s="519"/>
      <c r="D161" s="83">
        <f>I185</f>
        <v>19.619999999999997</v>
      </c>
      <c r="E161" s="84"/>
      <c r="F161" s="84"/>
      <c r="G161" s="85"/>
      <c r="H161" s="85"/>
      <c r="I161" s="86" t="s">
        <v>302</v>
      </c>
      <c r="J161" s="81"/>
    </row>
    <row r="162" spans="2:10" ht="18.75" customHeight="1" x14ac:dyDescent="0.25">
      <c r="B162" s="520"/>
      <c r="C162" s="521"/>
      <c r="D162" s="521"/>
      <c r="E162" s="521"/>
      <c r="F162" s="521"/>
      <c r="G162" s="521"/>
      <c r="H162" s="521"/>
      <c r="I162" s="522"/>
      <c r="J162" s="81"/>
    </row>
    <row r="163" spans="2:10" ht="18.75" customHeight="1" x14ac:dyDescent="0.25">
      <c r="B163" s="87" t="s">
        <v>44</v>
      </c>
      <c r="C163" s="88" t="s">
        <v>45</v>
      </c>
      <c r="D163" s="88"/>
      <c r="E163" s="88"/>
      <c r="F163" s="88" t="s">
        <v>46</v>
      </c>
      <c r="G163" s="88" t="s">
        <v>47</v>
      </c>
      <c r="H163" s="88" t="s">
        <v>48</v>
      </c>
      <c r="I163" s="89" t="s">
        <v>49</v>
      </c>
      <c r="J163" s="81"/>
    </row>
    <row r="164" spans="2:10" ht="18.75" customHeight="1" x14ac:dyDescent="0.25">
      <c r="B164" s="523" t="s">
        <v>50</v>
      </c>
      <c r="C164" s="524"/>
      <c r="D164" s="524"/>
      <c r="E164" s="524"/>
      <c r="F164" s="524"/>
      <c r="G164" s="524"/>
      <c r="H164" s="524"/>
      <c r="I164" s="525"/>
      <c r="J164" s="81"/>
    </row>
    <row r="165" spans="2:10" ht="18.75" customHeight="1" x14ac:dyDescent="0.2">
      <c r="B165" s="117">
        <v>88239</v>
      </c>
      <c r="C165" s="526" t="s">
        <v>217</v>
      </c>
      <c r="D165" s="526"/>
      <c r="E165" s="526"/>
      <c r="F165" s="118" t="s">
        <v>51</v>
      </c>
      <c r="G165" s="119">
        <v>0.22004000000000001</v>
      </c>
      <c r="H165" s="120">
        <v>13.56</v>
      </c>
      <c r="I165" s="121">
        <f>ROUND(G165*H165,2)</f>
        <v>2.98</v>
      </c>
      <c r="J165" s="81"/>
    </row>
    <row r="166" spans="2:10" ht="18.75" customHeight="1" x14ac:dyDescent="0.2">
      <c r="B166" s="117">
        <v>88245</v>
      </c>
      <c r="C166" s="526" t="s">
        <v>252</v>
      </c>
      <c r="D166" s="526"/>
      <c r="E166" s="526"/>
      <c r="F166" s="118" t="s">
        <v>51</v>
      </c>
      <c r="G166" s="119">
        <v>4.0000000000000001E-3</v>
      </c>
      <c r="H166" s="120">
        <v>16.45</v>
      </c>
      <c r="I166" s="121">
        <f>ROUND(G166*H166,2)</f>
        <v>7.0000000000000007E-2</v>
      </c>
      <c r="J166" s="81"/>
    </row>
    <row r="167" spans="2:10" ht="18.75" customHeight="1" x14ac:dyDescent="0.2">
      <c r="B167" s="117">
        <v>88262</v>
      </c>
      <c r="C167" s="526" t="s">
        <v>253</v>
      </c>
      <c r="D167" s="526"/>
      <c r="E167" s="526"/>
      <c r="F167" s="118" t="s">
        <v>51</v>
      </c>
      <c r="G167" s="119">
        <v>0.18</v>
      </c>
      <c r="H167" s="120">
        <v>16.45</v>
      </c>
      <c r="I167" s="121">
        <f>ROUND(G167*H167,2)</f>
        <v>2.96</v>
      </c>
      <c r="J167" s="81"/>
    </row>
    <row r="168" spans="2:10" ht="18.75" customHeight="1" x14ac:dyDescent="0.2">
      <c r="B168" s="117">
        <v>88309</v>
      </c>
      <c r="C168" s="526" t="s">
        <v>239</v>
      </c>
      <c r="D168" s="526"/>
      <c r="E168" s="526"/>
      <c r="F168" s="118" t="s">
        <v>51</v>
      </c>
      <c r="G168" s="119">
        <v>0.1</v>
      </c>
      <c r="H168" s="120">
        <v>16.54</v>
      </c>
      <c r="I168" s="121">
        <f>ROUND(G168*H168,2)</f>
        <v>1.65</v>
      </c>
      <c r="J168" s="81"/>
    </row>
    <row r="169" spans="2:10" ht="18.75" customHeight="1" x14ac:dyDescent="0.2">
      <c r="B169" s="117">
        <v>88316</v>
      </c>
      <c r="C169" s="526" t="s">
        <v>236</v>
      </c>
      <c r="D169" s="526"/>
      <c r="E169" s="526"/>
      <c r="F169" s="118" t="s">
        <v>51</v>
      </c>
      <c r="G169" s="119">
        <v>0.36</v>
      </c>
      <c r="H169" s="120">
        <v>13.12</v>
      </c>
      <c r="I169" s="121">
        <f>ROUND(G169*H169,2)</f>
        <v>4.72</v>
      </c>
      <c r="J169" s="81"/>
    </row>
    <row r="170" spans="2:10" ht="18.75" customHeight="1" x14ac:dyDescent="0.25">
      <c r="B170" s="506" t="s">
        <v>53</v>
      </c>
      <c r="C170" s="507"/>
      <c r="D170" s="507"/>
      <c r="E170" s="507"/>
      <c r="F170" s="507"/>
      <c r="G170" s="507"/>
      <c r="H170" s="507"/>
      <c r="I170" s="91">
        <f>SUM(I165:I169)</f>
        <v>12.379999999999999</v>
      </c>
      <c r="J170" s="81"/>
    </row>
    <row r="171" spans="2:10" ht="18.75" customHeight="1" x14ac:dyDescent="0.25">
      <c r="B171" s="523" t="s">
        <v>59</v>
      </c>
      <c r="C171" s="524"/>
      <c r="D171" s="524"/>
      <c r="E171" s="524"/>
      <c r="F171" s="524"/>
      <c r="G171" s="524"/>
      <c r="H171" s="524"/>
      <c r="I171" s="525"/>
      <c r="J171" s="81"/>
    </row>
    <row r="172" spans="2:10" ht="14.25" x14ac:dyDescent="0.2">
      <c r="B172" s="284" t="s">
        <v>289</v>
      </c>
      <c r="C172" s="526" t="s">
        <v>280</v>
      </c>
      <c r="D172" s="526"/>
      <c r="E172" s="526"/>
      <c r="F172" s="118" t="s">
        <v>75</v>
      </c>
      <c r="G172" s="119">
        <v>0.62919999999999998</v>
      </c>
      <c r="H172" s="124">
        <v>3.07</v>
      </c>
      <c r="I172" s="121">
        <f>ROUND(G172*H172,2)</f>
        <v>1.93</v>
      </c>
      <c r="J172" s="81"/>
    </row>
    <row r="173" spans="2:10" ht="14.25" x14ac:dyDescent="0.2">
      <c r="B173" s="280" t="s">
        <v>276</v>
      </c>
      <c r="C173" s="526" t="s">
        <v>261</v>
      </c>
      <c r="D173" s="526"/>
      <c r="E173" s="526"/>
      <c r="F173" s="118" t="s">
        <v>75</v>
      </c>
      <c r="G173" s="119">
        <v>1.1440000000000001E-2</v>
      </c>
      <c r="H173" s="124">
        <v>9</v>
      </c>
      <c r="I173" s="121">
        <f t="shared" ref="I173:I181" si="1">ROUND(G173*H173,2)</f>
        <v>0.1</v>
      </c>
      <c r="J173" s="81"/>
    </row>
    <row r="174" spans="2:10" ht="14.25" x14ac:dyDescent="0.2">
      <c r="B174" s="280" t="s">
        <v>290</v>
      </c>
      <c r="C174" s="526" t="s">
        <v>281</v>
      </c>
      <c r="D174" s="526"/>
      <c r="E174" s="526"/>
      <c r="F174" s="118" t="s">
        <v>90</v>
      </c>
      <c r="G174" s="119">
        <v>1.3140000000000001E-2</v>
      </c>
      <c r="H174" s="124">
        <v>70</v>
      </c>
      <c r="I174" s="121">
        <f t="shared" si="1"/>
        <v>0.92</v>
      </c>
      <c r="J174" s="81"/>
    </row>
    <row r="175" spans="2:10" ht="14.25" x14ac:dyDescent="0.2">
      <c r="B175" s="280" t="s">
        <v>291</v>
      </c>
      <c r="C175" s="526" t="s">
        <v>282</v>
      </c>
      <c r="D175" s="526"/>
      <c r="E175" s="526"/>
      <c r="F175" s="118" t="s">
        <v>75</v>
      </c>
      <c r="G175" s="119">
        <v>5.82</v>
      </c>
      <c r="H175" s="124">
        <v>0.53</v>
      </c>
      <c r="I175" s="121">
        <f t="shared" si="1"/>
        <v>3.08</v>
      </c>
      <c r="J175" s="81"/>
    </row>
    <row r="176" spans="2:10" ht="14.25" x14ac:dyDescent="0.2">
      <c r="B176" s="280" t="s">
        <v>292</v>
      </c>
      <c r="C176" s="526" t="s">
        <v>283</v>
      </c>
      <c r="D176" s="526"/>
      <c r="E176" s="526"/>
      <c r="F176" s="118" t="s">
        <v>157</v>
      </c>
      <c r="G176" s="119">
        <v>2.0400000000000001E-2</v>
      </c>
      <c r="H176" s="124">
        <v>5.94</v>
      </c>
      <c r="I176" s="121">
        <f t="shared" si="1"/>
        <v>0.12</v>
      </c>
      <c r="J176" s="81"/>
    </row>
    <row r="177" spans="2:10" ht="14.25" x14ac:dyDescent="0.2">
      <c r="B177" s="280" t="s">
        <v>293</v>
      </c>
      <c r="C177" s="526" t="s">
        <v>284</v>
      </c>
      <c r="D177" s="526"/>
      <c r="E177" s="526"/>
      <c r="F177" s="118" t="s">
        <v>64</v>
      </c>
      <c r="G177" s="119">
        <v>0.36</v>
      </c>
      <c r="H177" s="124">
        <v>2.21</v>
      </c>
      <c r="I177" s="121">
        <f t="shared" si="1"/>
        <v>0.8</v>
      </c>
      <c r="J177" s="81"/>
    </row>
    <row r="178" spans="2:10" ht="14.25" x14ac:dyDescent="0.2">
      <c r="B178" s="280" t="s">
        <v>294</v>
      </c>
      <c r="C178" s="526" t="s">
        <v>285</v>
      </c>
      <c r="D178" s="526"/>
      <c r="E178" s="526"/>
      <c r="F178" s="118" t="s">
        <v>64</v>
      </c>
      <c r="G178" s="119">
        <v>0.18360000000000001</v>
      </c>
      <c r="H178" s="124">
        <v>14.89</v>
      </c>
      <c r="I178" s="121">
        <f t="shared" si="1"/>
        <v>2.73</v>
      </c>
      <c r="J178" s="81"/>
    </row>
    <row r="179" spans="2:10" ht="14.25" x14ac:dyDescent="0.2">
      <c r="B179" s="280" t="s">
        <v>295</v>
      </c>
      <c r="C179" s="526" t="s">
        <v>286</v>
      </c>
      <c r="D179" s="526"/>
      <c r="E179" s="526"/>
      <c r="F179" s="118" t="s">
        <v>90</v>
      </c>
      <c r="G179" s="119">
        <v>1.6400000000000001E-2</v>
      </c>
      <c r="H179" s="124">
        <v>110</v>
      </c>
      <c r="I179" s="121">
        <f t="shared" si="1"/>
        <v>1.8</v>
      </c>
      <c r="J179" s="81"/>
    </row>
    <row r="180" spans="2:10" ht="14.25" x14ac:dyDescent="0.2">
      <c r="B180" s="280" t="s">
        <v>296</v>
      </c>
      <c r="C180" s="526" t="s">
        <v>287</v>
      </c>
      <c r="D180" s="526"/>
      <c r="E180" s="526"/>
      <c r="F180" s="118" t="s">
        <v>75</v>
      </c>
      <c r="G180" s="119">
        <v>2.4E-2</v>
      </c>
      <c r="H180" s="124">
        <v>8.5</v>
      </c>
      <c r="I180" s="121">
        <f t="shared" si="1"/>
        <v>0.2</v>
      </c>
      <c r="J180" s="81"/>
    </row>
    <row r="181" spans="2:10" ht="14.25" x14ac:dyDescent="0.2">
      <c r="B181" s="280" t="s">
        <v>297</v>
      </c>
      <c r="C181" s="526" t="s">
        <v>288</v>
      </c>
      <c r="D181" s="526"/>
      <c r="E181" s="526"/>
      <c r="F181" s="118" t="s">
        <v>64</v>
      </c>
      <c r="G181" s="119">
        <v>0.26040000000000002</v>
      </c>
      <c r="H181" s="124">
        <v>6.72</v>
      </c>
      <c r="I181" s="121">
        <f t="shared" si="1"/>
        <v>1.75</v>
      </c>
      <c r="J181" s="81"/>
    </row>
    <row r="182" spans="2:10" ht="18.75" customHeight="1" x14ac:dyDescent="0.25">
      <c r="B182" s="506" t="s">
        <v>60</v>
      </c>
      <c r="C182" s="507"/>
      <c r="D182" s="507"/>
      <c r="E182" s="507"/>
      <c r="F182" s="507"/>
      <c r="G182" s="507"/>
      <c r="H182" s="507"/>
      <c r="I182" s="91">
        <f>SUM(I172:I181)</f>
        <v>13.43</v>
      </c>
      <c r="J182" s="81"/>
    </row>
    <row r="183" spans="2:10" ht="18.75" customHeight="1" x14ac:dyDescent="0.25">
      <c r="B183" s="508"/>
      <c r="C183" s="509"/>
      <c r="D183" s="509"/>
      <c r="E183" s="509"/>
      <c r="F183" s="509"/>
      <c r="G183" s="509"/>
      <c r="H183" s="509"/>
      <c r="I183" s="510"/>
      <c r="J183" s="81"/>
    </row>
    <row r="184" spans="2:10" ht="18.75" customHeight="1" x14ac:dyDescent="0.25">
      <c r="B184" s="511"/>
      <c r="C184" s="512"/>
      <c r="D184" s="512"/>
      <c r="E184" s="512"/>
      <c r="F184" s="512"/>
      <c r="G184" s="512"/>
      <c r="H184" s="512"/>
      <c r="I184" s="92"/>
      <c r="J184" s="81"/>
    </row>
    <row r="185" spans="2:10" ht="18.75" customHeight="1" x14ac:dyDescent="0.25">
      <c r="B185" s="513" t="s">
        <v>56</v>
      </c>
      <c r="C185" s="514"/>
      <c r="D185" s="514"/>
      <c r="E185" s="514"/>
      <c r="F185" s="514"/>
      <c r="G185" s="514"/>
      <c r="H185" s="514"/>
      <c r="I185" s="93">
        <f>SUM(I170:I184)/2</f>
        <v>19.619999999999997</v>
      </c>
      <c r="J185" s="81"/>
    </row>
    <row r="186" spans="2:10" ht="18.75" customHeight="1" x14ac:dyDescent="0.25">
      <c r="B186" s="142"/>
      <c r="C186" s="143"/>
      <c r="D186" s="144"/>
      <c r="E186" s="144"/>
      <c r="F186" s="145"/>
      <c r="G186" s="145"/>
      <c r="H186" s="145"/>
      <c r="I186" s="146"/>
      <c r="J186" s="81"/>
    </row>
    <row r="187" spans="2:10" ht="29.25" customHeight="1" x14ac:dyDescent="0.25">
      <c r="B187" s="515" t="s">
        <v>301</v>
      </c>
      <c r="C187" s="516"/>
      <c r="D187" s="516"/>
      <c r="E187" s="516"/>
      <c r="F187" s="516"/>
      <c r="G187" s="516"/>
      <c r="H187" s="516"/>
      <c r="I187" s="517"/>
      <c r="J187" s="81"/>
    </row>
    <row r="188" spans="2:10" ht="18.75" customHeight="1" x14ac:dyDescent="0.25">
      <c r="B188" s="518" t="s">
        <v>57</v>
      </c>
      <c r="C188" s="519"/>
      <c r="D188" s="83">
        <f>I200</f>
        <v>47.08</v>
      </c>
      <c r="E188" s="84"/>
      <c r="F188" s="84"/>
      <c r="G188" s="85"/>
      <c r="H188" s="85"/>
      <c r="I188" s="86" t="s">
        <v>303</v>
      </c>
      <c r="J188" s="81"/>
    </row>
    <row r="189" spans="2:10" ht="18.75" customHeight="1" x14ac:dyDescent="0.25">
      <c r="B189" s="520"/>
      <c r="C189" s="521"/>
      <c r="D189" s="521"/>
      <c r="E189" s="521"/>
      <c r="F189" s="521"/>
      <c r="G189" s="521"/>
      <c r="H189" s="521"/>
      <c r="I189" s="522"/>
      <c r="J189" s="81"/>
    </row>
    <row r="190" spans="2:10" ht="18.75" customHeight="1" x14ac:dyDescent="0.25">
      <c r="B190" s="87" t="s">
        <v>44</v>
      </c>
      <c r="C190" s="88" t="s">
        <v>45</v>
      </c>
      <c r="D190" s="88"/>
      <c r="E190" s="88"/>
      <c r="F190" s="88" t="s">
        <v>46</v>
      </c>
      <c r="G190" s="88" t="s">
        <v>47</v>
      </c>
      <c r="H190" s="88" t="s">
        <v>48</v>
      </c>
      <c r="I190" s="89" t="s">
        <v>49</v>
      </c>
      <c r="J190" s="81"/>
    </row>
    <row r="191" spans="2:10" ht="18.75" customHeight="1" x14ac:dyDescent="0.25">
      <c r="B191" s="523" t="s">
        <v>50</v>
      </c>
      <c r="C191" s="524"/>
      <c r="D191" s="524"/>
      <c r="E191" s="524"/>
      <c r="F191" s="524"/>
      <c r="G191" s="524"/>
      <c r="H191" s="524"/>
      <c r="I191" s="525"/>
      <c r="J191" s="81"/>
    </row>
    <row r="192" spans="2:10" ht="18.75" customHeight="1" x14ac:dyDescent="0.2">
      <c r="B192" s="117">
        <v>88239</v>
      </c>
      <c r="C192" s="526" t="s">
        <v>217</v>
      </c>
      <c r="D192" s="526"/>
      <c r="E192" s="526"/>
      <c r="F192" s="118" t="s">
        <v>51</v>
      </c>
      <c r="G192" s="119">
        <v>0.8</v>
      </c>
      <c r="H192" s="120">
        <v>17.02</v>
      </c>
      <c r="I192" s="121">
        <f>ROUND(G192*H192,2)</f>
        <v>13.62</v>
      </c>
      <c r="J192" s="81"/>
    </row>
    <row r="193" spans="2:10" ht="18.75" customHeight="1" x14ac:dyDescent="0.2">
      <c r="B193" s="117">
        <v>88262</v>
      </c>
      <c r="C193" s="526" t="s">
        <v>253</v>
      </c>
      <c r="D193" s="526"/>
      <c r="E193" s="526"/>
      <c r="F193" s="118" t="s">
        <v>51</v>
      </c>
      <c r="G193" s="119">
        <v>0.8</v>
      </c>
      <c r="H193" s="120">
        <v>14.09</v>
      </c>
      <c r="I193" s="121">
        <f>ROUND(G193*H193,2)</f>
        <v>11.27</v>
      </c>
      <c r="J193" s="81"/>
    </row>
    <row r="194" spans="2:10" ht="18.75" customHeight="1" x14ac:dyDescent="0.25">
      <c r="B194" s="506" t="s">
        <v>53</v>
      </c>
      <c r="C194" s="507"/>
      <c r="D194" s="507"/>
      <c r="E194" s="507"/>
      <c r="F194" s="507"/>
      <c r="G194" s="507"/>
      <c r="H194" s="507"/>
      <c r="I194" s="91">
        <f>SUM(I192:I193)</f>
        <v>24.89</v>
      </c>
      <c r="J194" s="81"/>
    </row>
    <row r="195" spans="2:10" ht="18.75" customHeight="1" x14ac:dyDescent="0.25">
      <c r="B195" s="523" t="s">
        <v>59</v>
      </c>
      <c r="C195" s="524"/>
      <c r="D195" s="524"/>
      <c r="E195" s="524"/>
      <c r="F195" s="524"/>
      <c r="G195" s="524"/>
      <c r="H195" s="524"/>
      <c r="I195" s="525"/>
      <c r="J195" s="81"/>
    </row>
    <row r="196" spans="2:10" ht="29.25" customHeight="1" x14ac:dyDescent="0.2">
      <c r="B196" s="280" t="s">
        <v>298</v>
      </c>
      <c r="C196" s="526" t="s">
        <v>299</v>
      </c>
      <c r="D196" s="526"/>
      <c r="E196" s="526"/>
      <c r="F196" s="118" t="s">
        <v>300</v>
      </c>
      <c r="G196" s="119">
        <v>1</v>
      </c>
      <c r="H196" s="124">
        <v>22.19</v>
      </c>
      <c r="I196" s="121">
        <f>ROUND(G196*H196,2)</f>
        <v>22.19</v>
      </c>
      <c r="J196" s="81"/>
    </row>
    <row r="197" spans="2:10" ht="18.75" customHeight="1" x14ac:dyDescent="0.25">
      <c r="B197" s="506" t="s">
        <v>60</v>
      </c>
      <c r="C197" s="507"/>
      <c r="D197" s="507"/>
      <c r="E197" s="507"/>
      <c r="F197" s="507"/>
      <c r="G197" s="507"/>
      <c r="H197" s="507"/>
      <c r="I197" s="91">
        <f>SUM(I196:I196)</f>
        <v>22.19</v>
      </c>
      <c r="J197" s="81"/>
    </row>
    <row r="198" spans="2:10" ht="18.75" customHeight="1" x14ac:dyDescent="0.25">
      <c r="B198" s="508"/>
      <c r="C198" s="509"/>
      <c r="D198" s="509"/>
      <c r="E198" s="509"/>
      <c r="F198" s="509"/>
      <c r="G198" s="509"/>
      <c r="H198" s="509"/>
      <c r="I198" s="510"/>
      <c r="J198" s="81"/>
    </row>
    <row r="199" spans="2:10" ht="18.75" customHeight="1" x14ac:dyDescent="0.25">
      <c r="B199" s="511"/>
      <c r="C199" s="512"/>
      <c r="D199" s="512"/>
      <c r="E199" s="512"/>
      <c r="F199" s="512"/>
      <c r="G199" s="512"/>
      <c r="H199" s="512"/>
      <c r="I199" s="92"/>
      <c r="J199" s="81"/>
    </row>
    <row r="200" spans="2:10" ht="18.75" customHeight="1" x14ac:dyDescent="0.25">
      <c r="B200" s="513" t="s">
        <v>56</v>
      </c>
      <c r="C200" s="514"/>
      <c r="D200" s="514"/>
      <c r="E200" s="514"/>
      <c r="F200" s="514"/>
      <c r="G200" s="514"/>
      <c r="H200" s="514"/>
      <c r="I200" s="93">
        <f>SUM(I192:I199)/2</f>
        <v>47.08</v>
      </c>
      <c r="J200" s="81"/>
    </row>
    <row r="201" spans="2:10" ht="18.75" customHeight="1" x14ac:dyDescent="0.25">
      <c r="B201" s="142"/>
      <c r="C201" s="143"/>
      <c r="D201" s="144"/>
      <c r="E201" s="144"/>
      <c r="F201" s="145"/>
      <c r="G201" s="145"/>
      <c r="H201" s="145"/>
      <c r="I201" s="146"/>
      <c r="J201" s="81"/>
    </row>
    <row r="202" spans="2:10" ht="18" customHeight="1" x14ac:dyDescent="0.25">
      <c r="B202" s="515" t="s">
        <v>246</v>
      </c>
      <c r="C202" s="516"/>
      <c r="D202" s="516"/>
      <c r="E202" s="516"/>
      <c r="F202" s="516"/>
      <c r="G202" s="516"/>
      <c r="H202" s="516"/>
      <c r="I202" s="517"/>
    </row>
    <row r="203" spans="2:10" ht="18" customHeight="1" x14ac:dyDescent="0.25">
      <c r="B203" s="518" t="s">
        <v>57</v>
      </c>
      <c r="C203" s="519"/>
      <c r="D203" s="83">
        <f>I216</f>
        <v>1225.4699999999998</v>
      </c>
      <c r="E203" s="84"/>
      <c r="F203" s="84"/>
      <c r="G203" s="85"/>
      <c r="H203" s="85"/>
      <c r="I203" s="86" t="s">
        <v>245</v>
      </c>
    </row>
    <row r="204" spans="2:10" ht="18" customHeight="1" x14ac:dyDescent="0.25">
      <c r="B204" s="520"/>
      <c r="C204" s="521"/>
      <c r="D204" s="521"/>
      <c r="E204" s="521"/>
      <c r="F204" s="521"/>
      <c r="G204" s="521"/>
      <c r="H204" s="521"/>
      <c r="I204" s="522"/>
    </row>
    <row r="205" spans="2:10" ht="18" customHeight="1" x14ac:dyDescent="0.25">
      <c r="B205" s="87" t="s">
        <v>44</v>
      </c>
      <c r="C205" s="88" t="s">
        <v>45</v>
      </c>
      <c r="D205" s="88"/>
      <c r="E205" s="88"/>
      <c r="F205" s="88" t="s">
        <v>46</v>
      </c>
      <c r="G205" s="88" t="s">
        <v>47</v>
      </c>
      <c r="H205" s="88" t="s">
        <v>48</v>
      </c>
      <c r="I205" s="89" t="s">
        <v>49</v>
      </c>
    </row>
    <row r="206" spans="2:10" ht="18" customHeight="1" x14ac:dyDescent="0.25">
      <c r="B206" s="523" t="s">
        <v>50</v>
      </c>
      <c r="C206" s="524"/>
      <c r="D206" s="524"/>
      <c r="E206" s="524"/>
      <c r="F206" s="524"/>
      <c r="G206" s="524"/>
      <c r="H206" s="524"/>
      <c r="I206" s="525"/>
    </row>
    <row r="207" spans="2:10" ht="18" customHeight="1" x14ac:dyDescent="0.25">
      <c r="B207" s="276">
        <v>88309</v>
      </c>
      <c r="C207" s="505" t="s">
        <v>239</v>
      </c>
      <c r="D207" s="505"/>
      <c r="E207" s="505"/>
      <c r="F207" s="277" t="s">
        <v>51</v>
      </c>
      <c r="G207" s="94">
        <v>0.75</v>
      </c>
      <c r="H207" s="94">
        <v>16.54</v>
      </c>
      <c r="I207" s="90">
        <f>ROUND(G207*H207,2)</f>
        <v>12.41</v>
      </c>
    </row>
    <row r="208" spans="2:10" ht="14.25" x14ac:dyDescent="0.25">
      <c r="B208" s="276">
        <v>88248</v>
      </c>
      <c r="C208" s="505" t="s">
        <v>240</v>
      </c>
      <c r="D208" s="505"/>
      <c r="E208" s="505"/>
      <c r="F208" s="277" t="s">
        <v>51</v>
      </c>
      <c r="G208" s="94">
        <v>0.5</v>
      </c>
      <c r="H208" s="94">
        <v>13.58</v>
      </c>
      <c r="I208" s="90">
        <f>ROUND(G208*H208,2)</f>
        <v>6.79</v>
      </c>
    </row>
    <row r="209" spans="2:10" ht="18" customHeight="1" x14ac:dyDescent="0.25">
      <c r="B209" s="506" t="s">
        <v>53</v>
      </c>
      <c r="C209" s="507"/>
      <c r="D209" s="507"/>
      <c r="E209" s="507"/>
      <c r="F209" s="507"/>
      <c r="G209" s="507"/>
      <c r="H209" s="507"/>
      <c r="I209" s="91">
        <f>SUM(I207:I208)</f>
        <v>19.2</v>
      </c>
    </row>
    <row r="210" spans="2:10" ht="18" customHeight="1" x14ac:dyDescent="0.25">
      <c r="B210" s="523" t="s">
        <v>59</v>
      </c>
      <c r="C210" s="524"/>
      <c r="D210" s="524"/>
      <c r="E210" s="524"/>
      <c r="F210" s="524"/>
      <c r="G210" s="524"/>
      <c r="H210" s="524"/>
      <c r="I210" s="525"/>
    </row>
    <row r="211" spans="2:10" ht="34.5" customHeight="1" x14ac:dyDescent="0.25">
      <c r="B211" s="276" t="s">
        <v>241</v>
      </c>
      <c r="C211" s="505" t="s">
        <v>242</v>
      </c>
      <c r="D211" s="505"/>
      <c r="E211" s="505"/>
      <c r="F211" s="277" t="s">
        <v>62</v>
      </c>
      <c r="G211" s="94">
        <v>1</v>
      </c>
      <c r="H211" s="94">
        <v>762.68</v>
      </c>
      <c r="I211" s="90">
        <f>ROUND(G211*H211,2)</f>
        <v>762.68</v>
      </c>
    </row>
    <row r="212" spans="2:10" ht="18" customHeight="1" x14ac:dyDescent="0.25">
      <c r="B212" s="276" t="s">
        <v>243</v>
      </c>
      <c r="C212" s="505" t="s">
        <v>244</v>
      </c>
      <c r="D212" s="505"/>
      <c r="E212" s="505"/>
      <c r="F212" s="277" t="s">
        <v>91</v>
      </c>
      <c r="G212" s="94">
        <f>2*0.6</f>
        <v>1.2</v>
      </c>
      <c r="H212" s="94">
        <v>369.66</v>
      </c>
      <c r="I212" s="90">
        <f>ROUND(G212*H212,2)</f>
        <v>443.59</v>
      </c>
    </row>
    <row r="213" spans="2:10" ht="18" customHeight="1" x14ac:dyDescent="0.25">
      <c r="B213" s="506" t="s">
        <v>60</v>
      </c>
      <c r="C213" s="507"/>
      <c r="D213" s="507"/>
      <c r="E213" s="507"/>
      <c r="F213" s="507"/>
      <c r="G213" s="507"/>
      <c r="H213" s="507"/>
      <c r="I213" s="91">
        <f>SUM(I211:I212)</f>
        <v>1206.27</v>
      </c>
    </row>
    <row r="214" spans="2:10" ht="18" customHeight="1" x14ac:dyDescent="0.25">
      <c r="B214" s="508"/>
      <c r="C214" s="509"/>
      <c r="D214" s="509"/>
      <c r="E214" s="509"/>
      <c r="F214" s="509"/>
      <c r="G214" s="509"/>
      <c r="H214" s="509"/>
      <c r="I214" s="510"/>
    </row>
    <row r="215" spans="2:10" ht="18" customHeight="1" x14ac:dyDescent="0.25">
      <c r="B215" s="511"/>
      <c r="C215" s="512"/>
      <c r="D215" s="512"/>
      <c r="E215" s="512"/>
      <c r="F215" s="512"/>
      <c r="G215" s="512"/>
      <c r="H215" s="512"/>
      <c r="I215" s="92"/>
    </row>
    <row r="216" spans="2:10" ht="18" customHeight="1" x14ac:dyDescent="0.25">
      <c r="B216" s="513" t="s">
        <v>56</v>
      </c>
      <c r="C216" s="514"/>
      <c r="D216" s="514"/>
      <c r="E216" s="514"/>
      <c r="F216" s="514"/>
      <c r="G216" s="514"/>
      <c r="H216" s="514"/>
      <c r="I216" s="93">
        <f>SUM(I207:I213)/2</f>
        <v>1225.4699999999998</v>
      </c>
    </row>
    <row r="217" spans="2:10" ht="18.75" customHeight="1" x14ac:dyDescent="0.25">
      <c r="B217" s="142"/>
      <c r="C217" s="143"/>
      <c r="D217" s="144"/>
      <c r="E217" s="144"/>
      <c r="F217" s="145"/>
      <c r="G217" s="145"/>
      <c r="H217" s="145"/>
      <c r="I217" s="146"/>
      <c r="J217" s="81"/>
    </row>
    <row r="218" spans="2:10" ht="29.25" customHeight="1" x14ac:dyDescent="0.25">
      <c r="B218" s="515" t="s">
        <v>208</v>
      </c>
      <c r="C218" s="516"/>
      <c r="D218" s="516"/>
      <c r="E218" s="516"/>
      <c r="F218" s="516"/>
      <c r="G218" s="516"/>
      <c r="H218" s="516"/>
      <c r="I218" s="517"/>
      <c r="J218" s="81"/>
    </row>
    <row r="219" spans="2:10" ht="18.75" customHeight="1" x14ac:dyDescent="0.25">
      <c r="B219" s="518" t="s">
        <v>57</v>
      </c>
      <c r="C219" s="519"/>
      <c r="D219" s="83">
        <f>I232</f>
        <v>1467.6899999999998</v>
      </c>
      <c r="E219" s="84"/>
      <c r="F219" s="84"/>
      <c r="G219" s="85"/>
      <c r="H219" s="85"/>
      <c r="I219" s="86" t="s">
        <v>63</v>
      </c>
      <c r="J219" s="81"/>
    </row>
    <row r="220" spans="2:10" s="190" customFormat="1" ht="18.75" customHeight="1" x14ac:dyDescent="0.25">
      <c r="B220" s="569"/>
      <c r="C220" s="570"/>
      <c r="D220" s="570"/>
      <c r="E220" s="570"/>
      <c r="F220" s="570"/>
      <c r="G220" s="570"/>
      <c r="H220" s="570"/>
      <c r="I220" s="571"/>
      <c r="J220" s="97"/>
    </row>
    <row r="221" spans="2:10" s="192" customFormat="1" ht="18.75" customHeight="1" x14ac:dyDescent="0.25">
      <c r="B221" s="193" t="s">
        <v>44</v>
      </c>
      <c r="C221" s="194" t="s">
        <v>45</v>
      </c>
      <c r="D221" s="194"/>
      <c r="E221" s="194"/>
      <c r="F221" s="194" t="s">
        <v>46</v>
      </c>
      <c r="G221" s="194" t="s">
        <v>47</v>
      </c>
      <c r="H221" s="194" t="s">
        <v>48</v>
      </c>
      <c r="I221" s="195" t="s">
        <v>49</v>
      </c>
      <c r="J221" s="191"/>
    </row>
    <row r="222" spans="2:10" s="190" customFormat="1" ht="18.75" customHeight="1" x14ac:dyDescent="0.25">
      <c r="B222" s="569" t="s">
        <v>50</v>
      </c>
      <c r="C222" s="570"/>
      <c r="D222" s="570"/>
      <c r="E222" s="570"/>
      <c r="F222" s="570"/>
      <c r="G222" s="570"/>
      <c r="H222" s="570"/>
      <c r="I222" s="571"/>
      <c r="J222" s="97"/>
    </row>
    <row r="223" spans="2:10" s="190" customFormat="1" ht="18.75" customHeight="1" x14ac:dyDescent="0.2">
      <c r="B223" s="196" t="s">
        <v>191</v>
      </c>
      <c r="C223" s="572" t="s">
        <v>187</v>
      </c>
      <c r="D223" s="572"/>
      <c r="E223" s="572"/>
      <c r="F223" s="175" t="s">
        <v>51</v>
      </c>
      <c r="G223" s="188">
        <v>3.75</v>
      </c>
      <c r="H223" s="189">
        <v>4</v>
      </c>
      <c r="I223" s="197">
        <f>ROUND(G223*H223,2)</f>
        <v>15</v>
      </c>
      <c r="J223" s="97"/>
    </row>
    <row r="224" spans="2:10" s="190" customFormat="1" ht="18.75" customHeight="1" x14ac:dyDescent="0.2">
      <c r="B224" s="196" t="s">
        <v>192</v>
      </c>
      <c r="C224" s="572" t="s">
        <v>87</v>
      </c>
      <c r="D224" s="572"/>
      <c r="E224" s="572"/>
      <c r="F224" s="175" t="s">
        <v>51</v>
      </c>
      <c r="G224" s="188">
        <v>3.75</v>
      </c>
      <c r="H224" s="189">
        <v>5.55</v>
      </c>
      <c r="I224" s="197">
        <f>ROUND(G224*H224,2)</f>
        <v>20.81</v>
      </c>
      <c r="J224" s="97"/>
    </row>
    <row r="225" spans="2:10" s="190" customFormat="1" ht="18.75" customHeight="1" x14ac:dyDescent="0.25">
      <c r="B225" s="575" t="s">
        <v>53</v>
      </c>
      <c r="C225" s="576"/>
      <c r="D225" s="576"/>
      <c r="E225" s="576"/>
      <c r="F225" s="576"/>
      <c r="G225" s="576"/>
      <c r="H225" s="576"/>
      <c r="I225" s="130">
        <f>SUM(I223:I224)</f>
        <v>35.81</v>
      </c>
      <c r="J225" s="97"/>
    </row>
    <row r="226" spans="2:10" s="190" customFormat="1" ht="18.75" customHeight="1" x14ac:dyDescent="0.25">
      <c r="B226" s="569" t="s">
        <v>59</v>
      </c>
      <c r="C226" s="570"/>
      <c r="D226" s="570"/>
      <c r="E226" s="570"/>
      <c r="F226" s="570"/>
      <c r="G226" s="570"/>
      <c r="H226" s="570"/>
      <c r="I226" s="571"/>
      <c r="J226" s="97"/>
    </row>
    <row r="227" spans="2:10" s="190" customFormat="1" ht="46.5" customHeight="1" x14ac:dyDescent="0.25">
      <c r="B227" s="196" t="s">
        <v>190</v>
      </c>
      <c r="C227" s="572" t="s">
        <v>209</v>
      </c>
      <c r="D227" s="572"/>
      <c r="E227" s="572"/>
      <c r="F227" s="175" t="s">
        <v>193</v>
      </c>
      <c r="G227" s="198">
        <v>2.31</v>
      </c>
      <c r="H227" s="189">
        <v>605.99</v>
      </c>
      <c r="I227" s="197">
        <f>ROUND(G227*H227,2)</f>
        <v>1399.84</v>
      </c>
      <c r="J227" s="97"/>
    </row>
    <row r="228" spans="2:10" s="190" customFormat="1" ht="18.75" customHeight="1" x14ac:dyDescent="0.25">
      <c r="B228" s="575" t="s">
        <v>60</v>
      </c>
      <c r="C228" s="576"/>
      <c r="D228" s="576"/>
      <c r="E228" s="576"/>
      <c r="F228" s="576"/>
      <c r="G228" s="576"/>
      <c r="H228" s="576"/>
      <c r="I228" s="130">
        <f>SUM(I227:I227)</f>
        <v>1399.84</v>
      </c>
      <c r="J228" s="97"/>
    </row>
    <row r="229" spans="2:10" ht="18.75" customHeight="1" x14ac:dyDescent="0.25">
      <c r="B229" s="508"/>
      <c r="C229" s="509"/>
      <c r="D229" s="509"/>
      <c r="E229" s="509"/>
      <c r="F229" s="509"/>
      <c r="G229" s="509"/>
      <c r="H229" s="509"/>
      <c r="I229" s="510"/>
      <c r="J229" s="81"/>
    </row>
    <row r="230" spans="2:10" s="190" customFormat="1" ht="18.75" customHeight="1" x14ac:dyDescent="0.25">
      <c r="B230" s="565" t="s">
        <v>54</v>
      </c>
      <c r="C230" s="566"/>
      <c r="D230" s="566"/>
      <c r="E230" s="566"/>
      <c r="F230" s="566"/>
      <c r="G230" s="566"/>
      <c r="H230" s="566"/>
      <c r="I230" s="197">
        <f>I225+I228</f>
        <v>1435.6499999999999</v>
      </c>
      <c r="J230" s="97"/>
    </row>
    <row r="231" spans="2:10" s="190" customFormat="1" ht="18.75" customHeight="1" x14ac:dyDescent="0.25">
      <c r="B231" s="565" t="s">
        <v>55</v>
      </c>
      <c r="C231" s="566"/>
      <c r="D231" s="566"/>
      <c r="E231" s="566"/>
      <c r="F231" s="566"/>
      <c r="G231" s="566"/>
      <c r="H231" s="566"/>
      <c r="I231" s="197">
        <f>ROUND(I225*$D$14,2)</f>
        <v>32.04</v>
      </c>
      <c r="J231" s="97"/>
    </row>
    <row r="232" spans="2:10" s="190" customFormat="1" ht="18.75" customHeight="1" x14ac:dyDescent="0.25">
      <c r="B232" s="573" t="s">
        <v>56</v>
      </c>
      <c r="C232" s="574"/>
      <c r="D232" s="574"/>
      <c r="E232" s="574"/>
      <c r="F232" s="574"/>
      <c r="G232" s="574"/>
      <c r="H232" s="574"/>
      <c r="I232" s="199">
        <f>I230+I231</f>
        <v>1467.6899999999998</v>
      </c>
      <c r="J232" s="97"/>
    </row>
    <row r="233" spans="2:10" s="190" customFormat="1" ht="18.75" customHeight="1" x14ac:dyDescent="0.25">
      <c r="B233" s="278"/>
      <c r="C233" s="279"/>
      <c r="D233" s="279"/>
      <c r="E233" s="279"/>
      <c r="F233" s="279"/>
      <c r="G233" s="279"/>
      <c r="H233" s="279"/>
      <c r="I233" s="130"/>
      <c r="J233" s="97"/>
    </row>
    <row r="234" spans="2:10" ht="18.75" customHeight="1" x14ac:dyDescent="0.25">
      <c r="B234" s="515" t="s">
        <v>108</v>
      </c>
      <c r="C234" s="516"/>
      <c r="D234" s="516"/>
      <c r="E234" s="516"/>
      <c r="F234" s="516"/>
      <c r="G234" s="516"/>
      <c r="H234" s="516"/>
      <c r="I234" s="517"/>
      <c r="J234" s="81"/>
    </row>
    <row r="235" spans="2:10" ht="18.75" customHeight="1" x14ac:dyDescent="0.25">
      <c r="B235" s="518" t="s">
        <v>57</v>
      </c>
      <c r="C235" s="519"/>
      <c r="D235" s="83">
        <f>I253</f>
        <v>172.79000000000002</v>
      </c>
      <c r="E235" s="84"/>
      <c r="F235" s="84"/>
      <c r="G235" s="85"/>
      <c r="H235" s="85"/>
      <c r="I235" s="86" t="s">
        <v>63</v>
      </c>
      <c r="J235" s="81"/>
    </row>
    <row r="236" spans="2:10" ht="18.75" customHeight="1" x14ac:dyDescent="0.25">
      <c r="B236" s="520"/>
      <c r="C236" s="521"/>
      <c r="D236" s="521"/>
      <c r="E236" s="521"/>
      <c r="F236" s="521"/>
      <c r="G236" s="521"/>
      <c r="H236" s="521"/>
      <c r="I236" s="522"/>
      <c r="J236" s="81"/>
    </row>
    <row r="237" spans="2:10" ht="18.75" customHeight="1" x14ac:dyDescent="0.25">
      <c r="B237" s="87" t="s">
        <v>44</v>
      </c>
      <c r="C237" s="88" t="s">
        <v>45</v>
      </c>
      <c r="D237" s="88"/>
      <c r="E237" s="88"/>
      <c r="F237" s="88" t="s">
        <v>46</v>
      </c>
      <c r="G237" s="88" t="s">
        <v>47</v>
      </c>
      <c r="H237" s="88" t="s">
        <v>48</v>
      </c>
      <c r="I237" s="89" t="s">
        <v>49</v>
      </c>
      <c r="J237" s="81"/>
    </row>
    <row r="238" spans="2:10" ht="18.75" customHeight="1" x14ac:dyDescent="0.25">
      <c r="B238" s="523" t="s">
        <v>50</v>
      </c>
      <c r="C238" s="524"/>
      <c r="D238" s="524"/>
      <c r="E238" s="524"/>
      <c r="F238" s="524"/>
      <c r="G238" s="524"/>
      <c r="H238" s="524"/>
      <c r="I238" s="525"/>
      <c r="J238" s="81"/>
    </row>
    <row r="239" spans="2:10" ht="18.75" customHeight="1" x14ac:dyDescent="0.25">
      <c r="B239" s="132" t="s">
        <v>81</v>
      </c>
      <c r="C239" s="131" t="s">
        <v>61</v>
      </c>
      <c r="D239" s="139"/>
      <c r="E239" s="140"/>
      <c r="F239" s="133" t="s">
        <v>51</v>
      </c>
      <c r="G239" s="94">
        <v>5</v>
      </c>
      <c r="H239" s="94">
        <f>8.96/1.8946</f>
        <v>4.7292304444209865</v>
      </c>
      <c r="I239" s="90">
        <f>ROUND(G239*H239,2)</f>
        <v>23.65</v>
      </c>
      <c r="J239" s="81"/>
    </row>
    <row r="240" spans="2:10" ht="18.75" customHeight="1" x14ac:dyDescent="0.25">
      <c r="B240" s="132" t="s">
        <v>80</v>
      </c>
      <c r="C240" s="131" t="s">
        <v>52</v>
      </c>
      <c r="D240" s="139"/>
      <c r="E240" s="140"/>
      <c r="F240" s="133" t="s">
        <v>51</v>
      </c>
      <c r="G240" s="94">
        <v>4</v>
      </c>
      <c r="H240" s="94">
        <f>6.33/1.8946</f>
        <v>3.3410746331679508</v>
      </c>
      <c r="I240" s="90">
        <f>ROUND(G240*H240,2)</f>
        <v>13.36</v>
      </c>
      <c r="J240" s="81"/>
    </row>
    <row r="241" spans="2:10" ht="18.75" customHeight="1" x14ac:dyDescent="0.25">
      <c r="B241" s="506" t="s">
        <v>53</v>
      </c>
      <c r="C241" s="507"/>
      <c r="D241" s="507"/>
      <c r="E241" s="507"/>
      <c r="F241" s="507"/>
      <c r="G241" s="507"/>
      <c r="H241" s="507"/>
      <c r="I241" s="91">
        <f>SUM(I239:I240)</f>
        <v>37.01</v>
      </c>
      <c r="J241" s="81"/>
    </row>
    <row r="242" spans="2:10" ht="18.75" customHeight="1" x14ac:dyDescent="0.25">
      <c r="B242" s="523" t="s">
        <v>59</v>
      </c>
      <c r="C242" s="524"/>
      <c r="D242" s="524"/>
      <c r="E242" s="524"/>
      <c r="F242" s="524"/>
      <c r="G242" s="524"/>
      <c r="H242" s="524"/>
      <c r="I242" s="525"/>
      <c r="J242" s="81"/>
    </row>
    <row r="243" spans="2:10" ht="18.75" customHeight="1" x14ac:dyDescent="0.25">
      <c r="B243" s="132" t="s">
        <v>109</v>
      </c>
      <c r="C243" s="505" t="s">
        <v>110</v>
      </c>
      <c r="D243" s="505"/>
      <c r="E243" s="505"/>
      <c r="F243" s="133" t="s">
        <v>62</v>
      </c>
      <c r="G243" s="94">
        <v>1</v>
      </c>
      <c r="H243" s="94">
        <v>44.64</v>
      </c>
      <c r="I243" s="90">
        <f t="shared" ref="I243:I248" si="2">ROUND(G243*H243,2)</f>
        <v>44.64</v>
      </c>
      <c r="J243" s="81"/>
    </row>
    <row r="244" spans="2:10" ht="18.75" customHeight="1" x14ac:dyDescent="0.25">
      <c r="B244" s="132" t="s">
        <v>104</v>
      </c>
      <c r="C244" s="131" t="s">
        <v>105</v>
      </c>
      <c r="D244" s="131"/>
      <c r="E244" s="140"/>
      <c r="F244" s="133" t="s">
        <v>62</v>
      </c>
      <c r="G244" s="94">
        <v>1</v>
      </c>
      <c r="H244" s="94">
        <v>1.71</v>
      </c>
      <c r="I244" s="90">
        <f t="shared" si="2"/>
        <v>1.71</v>
      </c>
      <c r="J244" s="81"/>
    </row>
    <row r="245" spans="2:10" ht="18.75" customHeight="1" x14ac:dyDescent="0.25">
      <c r="B245" s="132" t="s">
        <v>100</v>
      </c>
      <c r="C245" s="155" t="s">
        <v>101</v>
      </c>
      <c r="D245" s="155"/>
      <c r="E245" s="156"/>
      <c r="F245" s="133" t="s">
        <v>64</v>
      </c>
      <c r="G245" s="94">
        <v>9</v>
      </c>
      <c r="H245" s="94">
        <v>1.98</v>
      </c>
      <c r="I245" s="90">
        <f t="shared" si="2"/>
        <v>17.82</v>
      </c>
      <c r="J245" s="81"/>
    </row>
    <row r="246" spans="2:10" ht="31.5" customHeight="1" x14ac:dyDescent="0.25">
      <c r="B246" s="132" t="s">
        <v>111</v>
      </c>
      <c r="C246" s="505" t="s">
        <v>112</v>
      </c>
      <c r="D246" s="505"/>
      <c r="E246" s="505"/>
      <c r="F246" s="133" t="s">
        <v>62</v>
      </c>
      <c r="G246" s="94">
        <v>0.15</v>
      </c>
      <c r="H246" s="94">
        <v>5.53</v>
      </c>
      <c r="I246" s="90">
        <f t="shared" si="2"/>
        <v>0.83</v>
      </c>
      <c r="J246" s="81"/>
    </row>
    <row r="247" spans="2:10" ht="18.75" customHeight="1" x14ac:dyDescent="0.25">
      <c r="B247" s="132" t="s">
        <v>106</v>
      </c>
      <c r="C247" s="131" t="s">
        <v>107</v>
      </c>
      <c r="D247" s="131"/>
      <c r="E247" s="140"/>
      <c r="F247" s="133" t="s">
        <v>62</v>
      </c>
      <c r="G247" s="94">
        <v>2</v>
      </c>
      <c r="H247" s="94">
        <v>1.07</v>
      </c>
      <c r="I247" s="90">
        <f t="shared" si="2"/>
        <v>2.14</v>
      </c>
      <c r="J247" s="81"/>
    </row>
    <row r="248" spans="2:10" ht="29.25" customHeight="1" x14ac:dyDescent="0.25">
      <c r="B248" s="132" t="s">
        <v>113</v>
      </c>
      <c r="C248" s="505" t="s">
        <v>114</v>
      </c>
      <c r="D248" s="505"/>
      <c r="E248" s="505"/>
      <c r="F248" s="133" t="s">
        <v>64</v>
      </c>
      <c r="G248" s="94">
        <v>17</v>
      </c>
      <c r="H248" s="94">
        <v>2.09</v>
      </c>
      <c r="I248" s="90">
        <f t="shared" si="2"/>
        <v>35.53</v>
      </c>
      <c r="J248" s="81"/>
    </row>
    <row r="249" spans="2:10" ht="18.75" customHeight="1" x14ac:dyDescent="0.25">
      <c r="B249" s="506" t="s">
        <v>60</v>
      </c>
      <c r="C249" s="507"/>
      <c r="D249" s="507"/>
      <c r="E249" s="507"/>
      <c r="F249" s="507"/>
      <c r="G249" s="507"/>
      <c r="H249" s="507"/>
      <c r="I249" s="91">
        <f>SUM(I243:I248)</f>
        <v>102.67</v>
      </c>
      <c r="J249" s="81"/>
    </row>
    <row r="250" spans="2:10" ht="18.75" customHeight="1" x14ac:dyDescent="0.25">
      <c r="B250" s="508"/>
      <c r="C250" s="509"/>
      <c r="D250" s="509"/>
      <c r="E250" s="509"/>
      <c r="F250" s="509"/>
      <c r="G250" s="509"/>
      <c r="H250" s="509"/>
      <c r="I250" s="510"/>
      <c r="J250" s="81"/>
    </row>
    <row r="251" spans="2:10" ht="18.75" customHeight="1" x14ac:dyDescent="0.25">
      <c r="B251" s="511" t="s">
        <v>54</v>
      </c>
      <c r="C251" s="512"/>
      <c r="D251" s="512"/>
      <c r="E251" s="512"/>
      <c r="F251" s="512"/>
      <c r="G251" s="512"/>
      <c r="H251" s="512"/>
      <c r="I251" s="92">
        <f>I241+I249</f>
        <v>139.68</v>
      </c>
      <c r="J251" s="81"/>
    </row>
    <row r="252" spans="2:10" ht="18.75" customHeight="1" x14ac:dyDescent="0.25">
      <c r="B252" s="511" t="s">
        <v>55</v>
      </c>
      <c r="C252" s="512"/>
      <c r="D252" s="512"/>
      <c r="E252" s="512"/>
      <c r="F252" s="512"/>
      <c r="G252" s="512"/>
      <c r="H252" s="512"/>
      <c r="I252" s="92">
        <f>ROUND(I241*$D$14,2)</f>
        <v>33.11</v>
      </c>
      <c r="J252" s="81"/>
    </row>
    <row r="253" spans="2:10" ht="18.75" customHeight="1" x14ac:dyDescent="0.25">
      <c r="B253" s="513" t="s">
        <v>56</v>
      </c>
      <c r="C253" s="514"/>
      <c r="D253" s="514"/>
      <c r="E253" s="514"/>
      <c r="F253" s="514"/>
      <c r="G253" s="514"/>
      <c r="H253" s="514"/>
      <c r="I253" s="93">
        <f>I251+I252</f>
        <v>172.79000000000002</v>
      </c>
      <c r="J253" s="81"/>
    </row>
    <row r="254" spans="2:10" ht="18.75" customHeight="1" x14ac:dyDescent="0.25">
      <c r="B254" s="106"/>
      <c r="C254" s="107"/>
      <c r="D254" s="147"/>
      <c r="E254" s="147"/>
      <c r="F254" s="108"/>
      <c r="G254" s="108"/>
      <c r="H254" s="108"/>
      <c r="I254" s="109"/>
      <c r="J254" s="81"/>
    </row>
    <row r="255" spans="2:10" ht="18.75" customHeight="1" x14ac:dyDescent="0.25">
      <c r="B255" s="515" t="s">
        <v>127</v>
      </c>
      <c r="C255" s="516"/>
      <c r="D255" s="516"/>
      <c r="E255" s="516"/>
      <c r="F255" s="516"/>
      <c r="G255" s="516"/>
      <c r="H255" s="516"/>
      <c r="I255" s="517"/>
      <c r="J255" s="81"/>
    </row>
    <row r="256" spans="2:10" ht="18.75" customHeight="1" x14ac:dyDescent="0.25">
      <c r="B256" s="518" t="s">
        <v>57</v>
      </c>
      <c r="C256" s="519"/>
      <c r="D256" s="83">
        <f>I276</f>
        <v>92.83</v>
      </c>
      <c r="E256" s="84"/>
      <c r="F256" s="84"/>
      <c r="G256" s="85"/>
      <c r="H256" s="85"/>
      <c r="I256" s="86" t="s">
        <v>63</v>
      </c>
      <c r="J256" s="81"/>
    </row>
    <row r="257" spans="2:10" ht="18.75" customHeight="1" x14ac:dyDescent="0.25">
      <c r="B257" s="520"/>
      <c r="C257" s="521"/>
      <c r="D257" s="521"/>
      <c r="E257" s="521"/>
      <c r="F257" s="521"/>
      <c r="G257" s="521"/>
      <c r="H257" s="521"/>
      <c r="I257" s="522"/>
      <c r="J257" s="81"/>
    </row>
    <row r="258" spans="2:10" ht="18.75" customHeight="1" x14ac:dyDescent="0.25">
      <c r="B258" s="87" t="s">
        <v>44</v>
      </c>
      <c r="C258" s="88" t="s">
        <v>45</v>
      </c>
      <c r="D258" s="88"/>
      <c r="E258" s="88"/>
      <c r="F258" s="88" t="s">
        <v>46</v>
      </c>
      <c r="G258" s="88" t="s">
        <v>47</v>
      </c>
      <c r="H258" s="88" t="s">
        <v>48</v>
      </c>
      <c r="I258" s="89" t="s">
        <v>49</v>
      </c>
      <c r="J258" s="81"/>
    </row>
    <row r="259" spans="2:10" ht="18.75" customHeight="1" x14ac:dyDescent="0.25">
      <c r="B259" s="523" t="s">
        <v>50</v>
      </c>
      <c r="C259" s="524"/>
      <c r="D259" s="524"/>
      <c r="E259" s="524"/>
      <c r="F259" s="524"/>
      <c r="G259" s="524"/>
      <c r="H259" s="524"/>
      <c r="I259" s="525"/>
      <c r="J259" s="81"/>
    </row>
    <row r="260" spans="2:10" ht="18.75" customHeight="1" x14ac:dyDescent="0.25">
      <c r="B260" s="132" t="s">
        <v>102</v>
      </c>
      <c r="C260" s="131" t="s">
        <v>103</v>
      </c>
      <c r="D260" s="139"/>
      <c r="E260" s="140"/>
      <c r="F260" s="133" t="s">
        <v>51</v>
      </c>
      <c r="G260" s="94">
        <v>3</v>
      </c>
      <c r="H260" s="94">
        <f>6.8/1.8946</f>
        <v>3.5891481051409264</v>
      </c>
      <c r="I260" s="90">
        <f>ROUND(G260*H260,2)</f>
        <v>10.77</v>
      </c>
      <c r="J260" s="81"/>
    </row>
    <row r="261" spans="2:10" ht="18.75" customHeight="1" x14ac:dyDescent="0.25">
      <c r="B261" s="132" t="s">
        <v>81</v>
      </c>
      <c r="C261" s="131" t="s">
        <v>61</v>
      </c>
      <c r="D261" s="139"/>
      <c r="E261" s="140"/>
      <c r="F261" s="133" t="s">
        <v>51</v>
      </c>
      <c r="G261" s="94">
        <v>3</v>
      </c>
      <c r="H261" s="94">
        <f>8.96/1.8946</f>
        <v>4.7292304444209865</v>
      </c>
      <c r="I261" s="90">
        <f>ROUND(G261*H261,2)</f>
        <v>14.19</v>
      </c>
      <c r="J261" s="81"/>
    </row>
    <row r="262" spans="2:10" ht="18.75" customHeight="1" x14ac:dyDescent="0.25">
      <c r="B262" s="132" t="s">
        <v>80</v>
      </c>
      <c r="C262" s="131" t="s">
        <v>52</v>
      </c>
      <c r="D262" s="139"/>
      <c r="E262" s="140"/>
      <c r="F262" s="133" t="s">
        <v>51</v>
      </c>
      <c r="G262" s="94">
        <v>2.5</v>
      </c>
      <c r="H262" s="94">
        <f>6.33/1.8946</f>
        <v>3.3410746331679508</v>
      </c>
      <c r="I262" s="90">
        <f>ROUND(G262*H262,2)</f>
        <v>8.35</v>
      </c>
      <c r="J262" s="81"/>
    </row>
    <row r="263" spans="2:10" ht="18.75" customHeight="1" x14ac:dyDescent="0.25">
      <c r="B263" s="506" t="s">
        <v>53</v>
      </c>
      <c r="C263" s="507"/>
      <c r="D263" s="507"/>
      <c r="E263" s="507"/>
      <c r="F263" s="507"/>
      <c r="G263" s="507"/>
      <c r="H263" s="507"/>
      <c r="I263" s="91">
        <f>SUM(I260:I262)</f>
        <v>33.31</v>
      </c>
      <c r="J263" s="81"/>
    </row>
    <row r="264" spans="2:10" ht="18.75" customHeight="1" x14ac:dyDescent="0.25">
      <c r="B264" s="523" t="s">
        <v>59</v>
      </c>
      <c r="C264" s="524"/>
      <c r="D264" s="524"/>
      <c r="E264" s="524"/>
      <c r="F264" s="524"/>
      <c r="G264" s="524"/>
      <c r="H264" s="524"/>
      <c r="I264" s="525"/>
      <c r="J264" s="81"/>
    </row>
    <row r="265" spans="2:10" ht="29.25" customHeight="1" x14ac:dyDescent="0.25">
      <c r="B265" s="132" t="s">
        <v>116</v>
      </c>
      <c r="C265" s="505" t="s">
        <v>117</v>
      </c>
      <c r="D265" s="505"/>
      <c r="E265" s="505"/>
      <c r="F265" s="133" t="s">
        <v>64</v>
      </c>
      <c r="G265" s="94">
        <v>8</v>
      </c>
      <c r="H265" s="94">
        <v>1.45</v>
      </c>
      <c r="I265" s="90">
        <f t="shared" ref="I265:I271" si="3">ROUND(G265*H265,2)</f>
        <v>11.6</v>
      </c>
      <c r="J265" s="81"/>
    </row>
    <row r="266" spans="2:10" ht="18.75" customHeight="1" x14ac:dyDescent="0.25">
      <c r="B266" s="132" t="s">
        <v>104</v>
      </c>
      <c r="C266" s="131" t="s">
        <v>105</v>
      </c>
      <c r="D266" s="131"/>
      <c r="E266" s="140"/>
      <c r="F266" s="133" t="s">
        <v>62</v>
      </c>
      <c r="G266" s="94">
        <v>1</v>
      </c>
      <c r="H266" s="94">
        <v>1.71</v>
      </c>
      <c r="I266" s="90">
        <f t="shared" si="3"/>
        <v>1.71</v>
      </c>
      <c r="J266" s="81"/>
    </row>
    <row r="267" spans="2:10" ht="26.25" customHeight="1" x14ac:dyDescent="0.25">
      <c r="B267" s="132" t="s">
        <v>100</v>
      </c>
      <c r="C267" s="505" t="s">
        <v>101</v>
      </c>
      <c r="D267" s="505"/>
      <c r="E267" s="140"/>
      <c r="F267" s="133" t="s">
        <v>64</v>
      </c>
      <c r="G267" s="94">
        <v>3</v>
      </c>
      <c r="H267" s="94">
        <v>1.98</v>
      </c>
      <c r="I267" s="90">
        <f t="shared" si="3"/>
        <v>5.94</v>
      </c>
      <c r="J267" s="81"/>
    </row>
    <row r="268" spans="2:10" ht="26.25" customHeight="1" x14ac:dyDescent="0.25">
      <c r="B268" s="132" t="s">
        <v>111</v>
      </c>
      <c r="C268" s="505" t="s">
        <v>112</v>
      </c>
      <c r="D268" s="505"/>
      <c r="E268" s="505"/>
      <c r="F268" s="133" t="s">
        <v>62</v>
      </c>
      <c r="G268" s="94">
        <v>0.15</v>
      </c>
      <c r="H268" s="94">
        <v>5.53</v>
      </c>
      <c r="I268" s="90">
        <f t="shared" si="3"/>
        <v>0.83</v>
      </c>
      <c r="J268" s="81"/>
    </row>
    <row r="269" spans="2:10" ht="18.75" customHeight="1" x14ac:dyDescent="0.25">
      <c r="B269" s="132" t="s">
        <v>106</v>
      </c>
      <c r="C269" s="131" t="s">
        <v>107</v>
      </c>
      <c r="D269" s="131"/>
      <c r="E269" s="140"/>
      <c r="F269" s="133" t="s">
        <v>62</v>
      </c>
      <c r="G269" s="94">
        <v>2</v>
      </c>
      <c r="H269" s="94">
        <v>1.07</v>
      </c>
      <c r="I269" s="90">
        <f t="shared" si="3"/>
        <v>2.14</v>
      </c>
      <c r="J269" s="81"/>
    </row>
    <row r="270" spans="2:10" ht="18.75" customHeight="1" x14ac:dyDescent="0.25">
      <c r="B270" s="132" t="s">
        <v>98</v>
      </c>
      <c r="C270" s="131" t="s">
        <v>99</v>
      </c>
      <c r="D270" s="131"/>
      <c r="E270" s="140"/>
      <c r="F270" s="133" t="s">
        <v>62</v>
      </c>
      <c r="G270" s="94">
        <v>1</v>
      </c>
      <c r="H270" s="94">
        <v>1.39</v>
      </c>
      <c r="I270" s="90">
        <f t="shared" si="3"/>
        <v>1.39</v>
      </c>
      <c r="J270" s="81"/>
    </row>
    <row r="271" spans="2:10" ht="24.75" customHeight="1" x14ac:dyDescent="0.25">
      <c r="B271" s="132" t="s">
        <v>128</v>
      </c>
      <c r="C271" s="505" t="s">
        <v>129</v>
      </c>
      <c r="D271" s="505"/>
      <c r="E271" s="505"/>
      <c r="F271" s="133" t="s">
        <v>62</v>
      </c>
      <c r="G271" s="94">
        <v>1</v>
      </c>
      <c r="H271" s="94">
        <v>6.11</v>
      </c>
      <c r="I271" s="90">
        <f t="shared" si="3"/>
        <v>6.11</v>
      </c>
      <c r="J271" s="81"/>
    </row>
    <row r="272" spans="2:10" ht="18.75" customHeight="1" x14ac:dyDescent="0.25">
      <c r="B272" s="506" t="s">
        <v>60</v>
      </c>
      <c r="C272" s="507"/>
      <c r="D272" s="507"/>
      <c r="E272" s="507"/>
      <c r="F272" s="507"/>
      <c r="G272" s="507"/>
      <c r="H272" s="507"/>
      <c r="I272" s="91">
        <f>SUM(I265:I271)</f>
        <v>29.72</v>
      </c>
      <c r="J272" s="81"/>
    </row>
    <row r="273" spans="2:10" ht="18.75" customHeight="1" x14ac:dyDescent="0.25">
      <c r="B273" s="508"/>
      <c r="C273" s="509"/>
      <c r="D273" s="509"/>
      <c r="E273" s="509"/>
      <c r="F273" s="509"/>
      <c r="G273" s="509"/>
      <c r="H273" s="509"/>
      <c r="I273" s="510"/>
      <c r="J273" s="81"/>
    </row>
    <row r="274" spans="2:10" ht="18.75" customHeight="1" x14ac:dyDescent="0.25">
      <c r="B274" s="511" t="s">
        <v>54</v>
      </c>
      <c r="C274" s="512"/>
      <c r="D274" s="512"/>
      <c r="E274" s="512"/>
      <c r="F274" s="512"/>
      <c r="G274" s="512"/>
      <c r="H274" s="512"/>
      <c r="I274" s="92">
        <f>I263+I272</f>
        <v>63.03</v>
      </c>
      <c r="J274" s="81"/>
    </row>
    <row r="275" spans="2:10" ht="18.75" customHeight="1" x14ac:dyDescent="0.25">
      <c r="B275" s="511" t="s">
        <v>55</v>
      </c>
      <c r="C275" s="512"/>
      <c r="D275" s="512"/>
      <c r="E275" s="512"/>
      <c r="F275" s="512"/>
      <c r="G275" s="512"/>
      <c r="H275" s="512"/>
      <c r="I275" s="92">
        <f>ROUND(I263*$D$14,2)</f>
        <v>29.8</v>
      </c>
      <c r="J275" s="81"/>
    </row>
    <row r="276" spans="2:10" ht="18.75" customHeight="1" x14ac:dyDescent="0.25">
      <c r="B276" s="513" t="s">
        <v>56</v>
      </c>
      <c r="C276" s="514"/>
      <c r="D276" s="514"/>
      <c r="E276" s="514"/>
      <c r="F276" s="514"/>
      <c r="G276" s="514"/>
      <c r="H276" s="514"/>
      <c r="I276" s="93">
        <f>I274+I275</f>
        <v>92.83</v>
      </c>
      <c r="J276" s="81"/>
    </row>
    <row r="277" spans="2:10" ht="18.75" customHeight="1" x14ac:dyDescent="0.25">
      <c r="B277" s="149"/>
      <c r="C277" s="150"/>
      <c r="D277" s="151"/>
      <c r="E277" s="152"/>
      <c r="F277" s="153"/>
      <c r="G277" s="153"/>
      <c r="H277" s="150"/>
      <c r="I277" s="150"/>
      <c r="J277" s="81"/>
    </row>
    <row r="278" spans="2:10" ht="18.75" customHeight="1" x14ac:dyDescent="0.25">
      <c r="B278" s="515" t="s">
        <v>130</v>
      </c>
      <c r="C278" s="516"/>
      <c r="D278" s="516"/>
      <c r="E278" s="516"/>
      <c r="F278" s="516"/>
      <c r="G278" s="516"/>
      <c r="H278" s="516"/>
      <c r="I278" s="517"/>
      <c r="J278" s="81"/>
    </row>
    <row r="279" spans="2:10" ht="18.75" customHeight="1" x14ac:dyDescent="0.25">
      <c r="B279" s="518" t="s">
        <v>57</v>
      </c>
      <c r="C279" s="519"/>
      <c r="D279" s="83">
        <f>I299</f>
        <v>100.92999999999999</v>
      </c>
      <c r="E279" s="84"/>
      <c r="F279" s="84"/>
      <c r="G279" s="85"/>
      <c r="H279" s="85"/>
      <c r="I279" s="86" t="s">
        <v>63</v>
      </c>
      <c r="J279" s="81"/>
    </row>
    <row r="280" spans="2:10" ht="18.75" customHeight="1" x14ac:dyDescent="0.25">
      <c r="B280" s="520"/>
      <c r="C280" s="521"/>
      <c r="D280" s="521"/>
      <c r="E280" s="521"/>
      <c r="F280" s="521"/>
      <c r="G280" s="521"/>
      <c r="H280" s="521"/>
      <c r="I280" s="522"/>
      <c r="J280" s="81"/>
    </row>
    <row r="281" spans="2:10" ht="18.75" customHeight="1" x14ac:dyDescent="0.25">
      <c r="B281" s="87" t="s">
        <v>44</v>
      </c>
      <c r="C281" s="88" t="s">
        <v>45</v>
      </c>
      <c r="D281" s="88"/>
      <c r="E281" s="88"/>
      <c r="F281" s="88" t="s">
        <v>46</v>
      </c>
      <c r="G281" s="88" t="s">
        <v>47</v>
      </c>
      <c r="H281" s="88" t="s">
        <v>48</v>
      </c>
      <c r="I281" s="89" t="s">
        <v>49</v>
      </c>
      <c r="J281" s="81"/>
    </row>
    <row r="282" spans="2:10" ht="18.75" customHeight="1" x14ac:dyDescent="0.25">
      <c r="B282" s="523" t="s">
        <v>50</v>
      </c>
      <c r="C282" s="524"/>
      <c r="D282" s="524"/>
      <c r="E282" s="524"/>
      <c r="F282" s="524"/>
      <c r="G282" s="524"/>
      <c r="H282" s="524"/>
      <c r="I282" s="525"/>
      <c r="J282" s="81"/>
    </row>
    <row r="283" spans="2:10" ht="18.75" customHeight="1" x14ac:dyDescent="0.25">
      <c r="B283" s="132" t="s">
        <v>102</v>
      </c>
      <c r="C283" s="131" t="s">
        <v>103</v>
      </c>
      <c r="D283" s="139"/>
      <c r="E283" s="140"/>
      <c r="F283" s="133" t="s">
        <v>51</v>
      </c>
      <c r="G283" s="94">
        <v>3</v>
      </c>
      <c r="H283" s="94">
        <f>6.8/1.8946</f>
        <v>3.5891481051409264</v>
      </c>
      <c r="I283" s="90">
        <f>ROUND(G283*H283,2)</f>
        <v>10.77</v>
      </c>
      <c r="J283" s="81"/>
    </row>
    <row r="284" spans="2:10" ht="18.75" customHeight="1" x14ac:dyDescent="0.25">
      <c r="B284" s="132" t="s">
        <v>81</v>
      </c>
      <c r="C284" s="131" t="s">
        <v>61</v>
      </c>
      <c r="D284" s="139"/>
      <c r="E284" s="140"/>
      <c r="F284" s="133" t="s">
        <v>51</v>
      </c>
      <c r="G284" s="94">
        <v>3</v>
      </c>
      <c r="H284" s="94">
        <f>8.96/1.8946</f>
        <v>4.7292304444209865</v>
      </c>
      <c r="I284" s="90">
        <f>ROUND(G284*H284,2)</f>
        <v>14.19</v>
      </c>
      <c r="J284" s="81"/>
    </row>
    <row r="285" spans="2:10" ht="18.75" customHeight="1" x14ac:dyDescent="0.25">
      <c r="B285" s="132" t="s">
        <v>80</v>
      </c>
      <c r="C285" s="131" t="s">
        <v>52</v>
      </c>
      <c r="D285" s="139"/>
      <c r="E285" s="140"/>
      <c r="F285" s="133" t="s">
        <v>51</v>
      </c>
      <c r="G285" s="94">
        <v>2.5</v>
      </c>
      <c r="H285" s="94">
        <f>6.33/1.8946</f>
        <v>3.3410746331679508</v>
      </c>
      <c r="I285" s="90">
        <f>ROUND(G285*H285,2)</f>
        <v>8.35</v>
      </c>
      <c r="J285" s="81"/>
    </row>
    <row r="286" spans="2:10" ht="18.75" customHeight="1" x14ac:dyDescent="0.25">
      <c r="B286" s="506" t="s">
        <v>53</v>
      </c>
      <c r="C286" s="507"/>
      <c r="D286" s="507"/>
      <c r="E286" s="507"/>
      <c r="F286" s="507"/>
      <c r="G286" s="507"/>
      <c r="H286" s="507"/>
      <c r="I286" s="91">
        <f>SUM(I283:I285)</f>
        <v>33.31</v>
      </c>
      <c r="J286" s="81"/>
    </row>
    <row r="287" spans="2:10" ht="18.75" customHeight="1" x14ac:dyDescent="0.25">
      <c r="B287" s="523" t="s">
        <v>59</v>
      </c>
      <c r="C287" s="524"/>
      <c r="D287" s="524"/>
      <c r="E287" s="524"/>
      <c r="F287" s="524"/>
      <c r="G287" s="524"/>
      <c r="H287" s="524"/>
      <c r="I287" s="525"/>
      <c r="J287" s="81"/>
    </row>
    <row r="288" spans="2:10" ht="26.25" customHeight="1" x14ac:dyDescent="0.25">
      <c r="B288" s="132" t="s">
        <v>116</v>
      </c>
      <c r="C288" s="505" t="s">
        <v>117</v>
      </c>
      <c r="D288" s="505"/>
      <c r="E288" s="505"/>
      <c r="F288" s="133" t="s">
        <v>64</v>
      </c>
      <c r="G288" s="94">
        <v>12</v>
      </c>
      <c r="H288" s="94">
        <v>1.45</v>
      </c>
      <c r="I288" s="90">
        <f t="shared" ref="I288:I294" si="4">ROUND(G288*H288,2)</f>
        <v>17.399999999999999</v>
      </c>
      <c r="J288" s="81"/>
    </row>
    <row r="289" spans="2:10" ht="18.75" customHeight="1" x14ac:dyDescent="0.25">
      <c r="B289" s="132" t="s">
        <v>104</v>
      </c>
      <c r="C289" s="505" t="s">
        <v>105</v>
      </c>
      <c r="D289" s="505"/>
      <c r="E289" s="505"/>
      <c r="F289" s="133" t="s">
        <v>62</v>
      </c>
      <c r="G289" s="94">
        <v>1</v>
      </c>
      <c r="H289" s="94">
        <v>1.71</v>
      </c>
      <c r="I289" s="90">
        <f t="shared" si="4"/>
        <v>1.71</v>
      </c>
      <c r="J289" s="81"/>
    </row>
    <row r="290" spans="2:10" ht="26.25" customHeight="1" x14ac:dyDescent="0.25">
      <c r="B290" s="132" t="s">
        <v>100</v>
      </c>
      <c r="C290" s="154" t="s">
        <v>101</v>
      </c>
      <c r="D290" s="154"/>
      <c r="E290" s="140"/>
      <c r="F290" s="133" t="s">
        <v>64</v>
      </c>
      <c r="G290" s="94">
        <v>3</v>
      </c>
      <c r="H290" s="94">
        <v>1.98</v>
      </c>
      <c r="I290" s="90">
        <f t="shared" si="4"/>
        <v>5.94</v>
      </c>
      <c r="J290" s="81"/>
    </row>
    <row r="291" spans="2:10" ht="25.5" customHeight="1" x14ac:dyDescent="0.25">
      <c r="B291" s="132" t="s">
        <v>111</v>
      </c>
      <c r="C291" s="154" t="s">
        <v>112</v>
      </c>
      <c r="D291" s="154"/>
      <c r="E291" s="140"/>
      <c r="F291" s="133" t="s">
        <v>62</v>
      </c>
      <c r="G291" s="94">
        <v>0.15</v>
      </c>
      <c r="H291" s="94">
        <v>5.53</v>
      </c>
      <c r="I291" s="90">
        <f t="shared" si="4"/>
        <v>0.83</v>
      </c>
      <c r="J291" s="81"/>
    </row>
    <row r="292" spans="2:10" ht="20.25" customHeight="1" x14ac:dyDescent="0.25">
      <c r="B292" s="132" t="s">
        <v>106</v>
      </c>
      <c r="C292" s="131" t="s">
        <v>107</v>
      </c>
      <c r="D292" s="131"/>
      <c r="E292" s="140"/>
      <c r="F292" s="133" t="s">
        <v>62</v>
      </c>
      <c r="G292" s="94">
        <v>2</v>
      </c>
      <c r="H292" s="94">
        <v>1.07</v>
      </c>
      <c r="I292" s="90">
        <f t="shared" si="4"/>
        <v>2.14</v>
      </c>
      <c r="J292" s="81"/>
    </row>
    <row r="293" spans="2:10" ht="18.75" customHeight="1" x14ac:dyDescent="0.25">
      <c r="B293" s="132" t="s">
        <v>98</v>
      </c>
      <c r="C293" s="131" t="s">
        <v>99</v>
      </c>
      <c r="D293" s="131"/>
      <c r="E293" s="140"/>
      <c r="F293" s="133" t="s">
        <v>62</v>
      </c>
      <c r="G293" s="94">
        <v>1</v>
      </c>
      <c r="H293" s="94">
        <v>1.39</v>
      </c>
      <c r="I293" s="90">
        <f t="shared" si="4"/>
        <v>1.39</v>
      </c>
      <c r="J293" s="81"/>
    </row>
    <row r="294" spans="2:10" ht="24.75" customHeight="1" x14ac:dyDescent="0.25">
      <c r="B294" s="132" t="s">
        <v>131</v>
      </c>
      <c r="C294" s="505" t="s">
        <v>132</v>
      </c>
      <c r="D294" s="505"/>
      <c r="E294" s="140"/>
      <c r="F294" s="133" t="s">
        <v>62</v>
      </c>
      <c r="G294" s="94">
        <v>1</v>
      </c>
      <c r="H294" s="94">
        <v>8.41</v>
      </c>
      <c r="I294" s="90">
        <f t="shared" si="4"/>
        <v>8.41</v>
      </c>
      <c r="J294" s="81"/>
    </row>
    <row r="295" spans="2:10" ht="18.75" customHeight="1" x14ac:dyDescent="0.25">
      <c r="B295" s="506" t="s">
        <v>60</v>
      </c>
      <c r="C295" s="507"/>
      <c r="D295" s="507"/>
      <c r="E295" s="507"/>
      <c r="F295" s="507"/>
      <c r="G295" s="507"/>
      <c r="H295" s="507"/>
      <c r="I295" s="91">
        <f>SUM(I288:I294)</f>
        <v>37.82</v>
      </c>
      <c r="J295" s="81"/>
    </row>
    <row r="296" spans="2:10" ht="18.75" customHeight="1" x14ac:dyDescent="0.25">
      <c r="B296" s="508"/>
      <c r="C296" s="509"/>
      <c r="D296" s="509"/>
      <c r="E296" s="509"/>
      <c r="F296" s="509"/>
      <c r="G296" s="509"/>
      <c r="H296" s="509"/>
      <c r="I296" s="510"/>
      <c r="J296" s="81"/>
    </row>
    <row r="297" spans="2:10" ht="18.75" customHeight="1" x14ac:dyDescent="0.25">
      <c r="B297" s="511" t="s">
        <v>54</v>
      </c>
      <c r="C297" s="512"/>
      <c r="D297" s="512"/>
      <c r="E297" s="512"/>
      <c r="F297" s="512"/>
      <c r="G297" s="512"/>
      <c r="H297" s="512"/>
      <c r="I297" s="92">
        <f>I286+I295</f>
        <v>71.13</v>
      </c>
      <c r="J297" s="81"/>
    </row>
    <row r="298" spans="2:10" ht="18.75" customHeight="1" x14ac:dyDescent="0.25">
      <c r="B298" s="511" t="s">
        <v>55</v>
      </c>
      <c r="C298" s="512"/>
      <c r="D298" s="512"/>
      <c r="E298" s="512"/>
      <c r="F298" s="512"/>
      <c r="G298" s="512"/>
      <c r="H298" s="512"/>
      <c r="I298" s="92">
        <f>ROUND(I286*$D$14,2)</f>
        <v>29.8</v>
      </c>
      <c r="J298" s="81"/>
    </row>
    <row r="299" spans="2:10" ht="18.75" customHeight="1" x14ac:dyDescent="0.25">
      <c r="B299" s="513" t="s">
        <v>56</v>
      </c>
      <c r="C299" s="514"/>
      <c r="D299" s="514"/>
      <c r="E299" s="514"/>
      <c r="F299" s="514"/>
      <c r="G299" s="514"/>
      <c r="H299" s="514"/>
      <c r="I299" s="93">
        <f>I297+I298</f>
        <v>100.92999999999999</v>
      </c>
      <c r="J299" s="81"/>
    </row>
    <row r="300" spans="2:10" ht="18.75" customHeight="1" x14ac:dyDescent="0.25">
      <c r="B300" s="103"/>
      <c r="C300" s="104"/>
      <c r="D300" s="104"/>
      <c r="E300" s="104"/>
      <c r="F300" s="104"/>
      <c r="G300" s="104"/>
      <c r="H300" s="104"/>
      <c r="I300" s="105"/>
      <c r="J300" s="81"/>
    </row>
    <row r="301" spans="2:10" ht="18.75" customHeight="1" x14ac:dyDescent="0.25">
      <c r="B301" s="515" t="s">
        <v>138</v>
      </c>
      <c r="C301" s="516"/>
      <c r="D301" s="516"/>
      <c r="E301" s="516"/>
      <c r="F301" s="516"/>
      <c r="G301" s="516"/>
      <c r="H301" s="516"/>
      <c r="I301" s="517"/>
      <c r="J301" s="81"/>
    </row>
    <row r="302" spans="2:10" ht="18.75" customHeight="1" x14ac:dyDescent="0.25">
      <c r="B302" s="518" t="s">
        <v>57</v>
      </c>
      <c r="C302" s="519"/>
      <c r="D302" s="83">
        <f>I322</f>
        <v>104.13</v>
      </c>
      <c r="E302" s="84"/>
      <c r="F302" s="84"/>
      <c r="G302" s="85"/>
      <c r="H302" s="85"/>
      <c r="I302" s="86" t="s">
        <v>63</v>
      </c>
      <c r="J302" s="81"/>
    </row>
    <row r="303" spans="2:10" ht="18.75" customHeight="1" x14ac:dyDescent="0.25">
      <c r="B303" s="520"/>
      <c r="C303" s="521"/>
      <c r="D303" s="521"/>
      <c r="E303" s="521"/>
      <c r="F303" s="521"/>
      <c r="G303" s="521"/>
      <c r="H303" s="521"/>
      <c r="I303" s="522"/>
      <c r="J303" s="81"/>
    </row>
    <row r="304" spans="2:10" ht="18.75" customHeight="1" x14ac:dyDescent="0.25">
      <c r="B304" s="87" t="s">
        <v>44</v>
      </c>
      <c r="C304" s="88" t="s">
        <v>45</v>
      </c>
      <c r="D304" s="88"/>
      <c r="E304" s="88"/>
      <c r="F304" s="88" t="s">
        <v>46</v>
      </c>
      <c r="G304" s="88" t="s">
        <v>47</v>
      </c>
      <c r="H304" s="88" t="s">
        <v>48</v>
      </c>
      <c r="I304" s="89" t="s">
        <v>49</v>
      </c>
      <c r="J304" s="81"/>
    </row>
    <row r="305" spans="2:10" ht="18.75" customHeight="1" x14ac:dyDescent="0.25">
      <c r="B305" s="523" t="s">
        <v>50</v>
      </c>
      <c r="C305" s="524"/>
      <c r="D305" s="524"/>
      <c r="E305" s="524"/>
      <c r="F305" s="524"/>
      <c r="G305" s="524"/>
      <c r="H305" s="524"/>
      <c r="I305" s="525"/>
      <c r="J305" s="81"/>
    </row>
    <row r="306" spans="2:10" ht="18.75" customHeight="1" x14ac:dyDescent="0.25">
      <c r="B306" s="132" t="s">
        <v>102</v>
      </c>
      <c r="C306" s="131" t="s">
        <v>103</v>
      </c>
      <c r="D306" s="139"/>
      <c r="E306" s="140"/>
      <c r="F306" s="133" t="s">
        <v>51</v>
      </c>
      <c r="G306" s="94">
        <v>3</v>
      </c>
      <c r="H306" s="94">
        <f>6.8/1.8946</f>
        <v>3.5891481051409264</v>
      </c>
      <c r="I306" s="90">
        <f>ROUND(G306*H306,2)</f>
        <v>10.77</v>
      </c>
      <c r="J306" s="81"/>
    </row>
    <row r="307" spans="2:10" ht="18.75" customHeight="1" x14ac:dyDescent="0.25">
      <c r="B307" s="132" t="s">
        <v>81</v>
      </c>
      <c r="C307" s="131" t="s">
        <v>61</v>
      </c>
      <c r="D307" s="139"/>
      <c r="E307" s="140"/>
      <c r="F307" s="133" t="s">
        <v>51</v>
      </c>
      <c r="G307" s="94">
        <v>3</v>
      </c>
      <c r="H307" s="94">
        <f>8.96/1.8946</f>
        <v>4.7292304444209865</v>
      </c>
      <c r="I307" s="90">
        <f>ROUND(G307*H307,2)</f>
        <v>14.19</v>
      </c>
      <c r="J307" s="81"/>
    </row>
    <row r="308" spans="2:10" ht="18.75" customHeight="1" x14ac:dyDescent="0.25">
      <c r="B308" s="132" t="s">
        <v>80</v>
      </c>
      <c r="C308" s="131" t="s">
        <v>52</v>
      </c>
      <c r="D308" s="139"/>
      <c r="E308" s="140"/>
      <c r="F308" s="133" t="s">
        <v>51</v>
      </c>
      <c r="G308" s="94">
        <v>2.5</v>
      </c>
      <c r="H308" s="94">
        <f>6.33/1.8946</f>
        <v>3.3410746331679508</v>
      </c>
      <c r="I308" s="90">
        <f>ROUND(G308*H308,2)</f>
        <v>8.35</v>
      </c>
      <c r="J308" s="81"/>
    </row>
    <row r="309" spans="2:10" ht="18.75" customHeight="1" x14ac:dyDescent="0.25">
      <c r="B309" s="506" t="s">
        <v>53</v>
      </c>
      <c r="C309" s="507"/>
      <c r="D309" s="507"/>
      <c r="E309" s="507"/>
      <c r="F309" s="507"/>
      <c r="G309" s="507"/>
      <c r="H309" s="507"/>
      <c r="I309" s="91">
        <f>SUM(I306:I308)</f>
        <v>33.31</v>
      </c>
      <c r="J309" s="81"/>
    </row>
    <row r="310" spans="2:10" ht="18.75" customHeight="1" x14ac:dyDescent="0.25">
      <c r="B310" s="523" t="s">
        <v>59</v>
      </c>
      <c r="C310" s="524"/>
      <c r="D310" s="524"/>
      <c r="E310" s="524"/>
      <c r="F310" s="524"/>
      <c r="G310" s="524"/>
      <c r="H310" s="524"/>
      <c r="I310" s="525"/>
      <c r="J310" s="81"/>
    </row>
    <row r="311" spans="2:10" ht="18.75" customHeight="1" x14ac:dyDescent="0.25">
      <c r="B311" s="132" t="s">
        <v>116</v>
      </c>
      <c r="C311" s="505" t="s">
        <v>117</v>
      </c>
      <c r="D311" s="505"/>
      <c r="E311" s="505"/>
      <c r="F311" s="133" t="s">
        <v>64</v>
      </c>
      <c r="G311" s="94">
        <v>12</v>
      </c>
      <c r="H311" s="94">
        <v>1.45</v>
      </c>
      <c r="I311" s="90">
        <f t="shared" ref="I311:I317" si="5">ROUND(G311*H311,2)</f>
        <v>17.399999999999999</v>
      </c>
      <c r="J311" s="81"/>
    </row>
    <row r="312" spans="2:10" ht="18.75" customHeight="1" x14ac:dyDescent="0.25">
      <c r="B312" s="132" t="s">
        <v>104</v>
      </c>
      <c r="C312" s="505" t="s">
        <v>105</v>
      </c>
      <c r="D312" s="505"/>
      <c r="E312" s="505"/>
      <c r="F312" s="133" t="s">
        <v>62</v>
      </c>
      <c r="G312" s="94">
        <v>1</v>
      </c>
      <c r="H312" s="94">
        <v>1.71</v>
      </c>
      <c r="I312" s="90">
        <f t="shared" si="5"/>
        <v>1.71</v>
      </c>
      <c r="J312" s="81"/>
    </row>
    <row r="313" spans="2:10" ht="18.75" customHeight="1" x14ac:dyDescent="0.25">
      <c r="B313" s="132" t="s">
        <v>100</v>
      </c>
      <c r="C313" s="154" t="s">
        <v>101</v>
      </c>
      <c r="D313" s="154"/>
      <c r="E313" s="140"/>
      <c r="F313" s="133" t="s">
        <v>64</v>
      </c>
      <c r="G313" s="94">
        <v>3</v>
      </c>
      <c r="H313" s="94">
        <v>1.98</v>
      </c>
      <c r="I313" s="90">
        <f t="shared" si="5"/>
        <v>5.94</v>
      </c>
      <c r="J313" s="81"/>
    </row>
    <row r="314" spans="2:10" ht="18.75" customHeight="1" x14ac:dyDescent="0.25">
      <c r="B314" s="132" t="s">
        <v>111</v>
      </c>
      <c r="C314" s="154" t="s">
        <v>112</v>
      </c>
      <c r="D314" s="154"/>
      <c r="E314" s="140"/>
      <c r="F314" s="133" t="s">
        <v>62</v>
      </c>
      <c r="G314" s="94">
        <v>0.15</v>
      </c>
      <c r="H314" s="94">
        <v>5.53</v>
      </c>
      <c r="I314" s="90">
        <f t="shared" si="5"/>
        <v>0.83</v>
      </c>
      <c r="J314" s="81"/>
    </row>
    <row r="315" spans="2:10" ht="18.75" customHeight="1" x14ac:dyDescent="0.25">
      <c r="B315" s="132" t="s">
        <v>106</v>
      </c>
      <c r="C315" s="131" t="s">
        <v>107</v>
      </c>
      <c r="D315" s="131"/>
      <c r="E315" s="140"/>
      <c r="F315" s="133" t="s">
        <v>62</v>
      </c>
      <c r="G315" s="94">
        <v>2</v>
      </c>
      <c r="H315" s="94">
        <v>1.07</v>
      </c>
      <c r="I315" s="90">
        <f t="shared" si="5"/>
        <v>2.14</v>
      </c>
      <c r="J315" s="81"/>
    </row>
    <row r="316" spans="2:10" ht="18.75" customHeight="1" x14ac:dyDescent="0.25">
      <c r="B316" s="132" t="s">
        <v>98</v>
      </c>
      <c r="C316" s="131" t="s">
        <v>99</v>
      </c>
      <c r="D316" s="131"/>
      <c r="E316" s="140"/>
      <c r="F316" s="133" t="s">
        <v>62</v>
      </c>
      <c r="G316" s="94">
        <v>1</v>
      </c>
      <c r="H316" s="94">
        <v>1.39</v>
      </c>
      <c r="I316" s="90">
        <f t="shared" si="5"/>
        <v>1.39</v>
      </c>
      <c r="J316" s="81"/>
    </row>
    <row r="317" spans="2:10" ht="18.75" customHeight="1" x14ac:dyDescent="0.25">
      <c r="B317" s="132" t="s">
        <v>139</v>
      </c>
      <c r="C317" s="505" t="s">
        <v>140</v>
      </c>
      <c r="D317" s="505"/>
      <c r="E317" s="505"/>
      <c r="F317" s="133" t="s">
        <v>62</v>
      </c>
      <c r="G317" s="94">
        <v>1</v>
      </c>
      <c r="H317" s="94">
        <v>11.61</v>
      </c>
      <c r="I317" s="90">
        <f t="shared" si="5"/>
        <v>11.61</v>
      </c>
      <c r="J317" s="81"/>
    </row>
    <row r="318" spans="2:10" ht="18.75" customHeight="1" x14ac:dyDescent="0.25">
      <c r="B318" s="506" t="s">
        <v>60</v>
      </c>
      <c r="C318" s="507"/>
      <c r="D318" s="507"/>
      <c r="E318" s="507"/>
      <c r="F318" s="507"/>
      <c r="G318" s="507"/>
      <c r="H318" s="507"/>
      <c r="I318" s="91">
        <f>SUM(I311:I317)</f>
        <v>41.019999999999996</v>
      </c>
      <c r="J318" s="81"/>
    </row>
    <row r="319" spans="2:10" ht="18.75" customHeight="1" x14ac:dyDescent="0.25">
      <c r="B319" s="508"/>
      <c r="C319" s="509"/>
      <c r="D319" s="509"/>
      <c r="E319" s="509"/>
      <c r="F319" s="509"/>
      <c r="G319" s="509"/>
      <c r="H319" s="509"/>
      <c r="I319" s="510"/>
      <c r="J319" s="81"/>
    </row>
    <row r="320" spans="2:10" ht="18.75" customHeight="1" x14ac:dyDescent="0.25">
      <c r="B320" s="511" t="s">
        <v>54</v>
      </c>
      <c r="C320" s="512"/>
      <c r="D320" s="512"/>
      <c r="E320" s="512"/>
      <c r="F320" s="512"/>
      <c r="G320" s="512"/>
      <c r="H320" s="512"/>
      <c r="I320" s="92">
        <f>I309+I318</f>
        <v>74.33</v>
      </c>
      <c r="J320" s="81"/>
    </row>
    <row r="321" spans="2:10" ht="18.75" customHeight="1" x14ac:dyDescent="0.25">
      <c r="B321" s="511" t="s">
        <v>55</v>
      </c>
      <c r="C321" s="512"/>
      <c r="D321" s="512"/>
      <c r="E321" s="512"/>
      <c r="F321" s="512"/>
      <c r="G321" s="512"/>
      <c r="H321" s="512"/>
      <c r="I321" s="92">
        <f>ROUND(I309*$D$14,2)</f>
        <v>29.8</v>
      </c>
      <c r="J321" s="81"/>
    </row>
    <row r="322" spans="2:10" ht="18.75" customHeight="1" x14ac:dyDescent="0.25">
      <c r="B322" s="513" t="s">
        <v>56</v>
      </c>
      <c r="C322" s="514"/>
      <c r="D322" s="514"/>
      <c r="E322" s="514"/>
      <c r="F322" s="514"/>
      <c r="G322" s="514"/>
      <c r="H322" s="514"/>
      <c r="I322" s="93">
        <f>I320+I321</f>
        <v>104.13</v>
      </c>
      <c r="J322" s="81"/>
    </row>
    <row r="323" spans="2:10" ht="18.75" customHeight="1" x14ac:dyDescent="0.25">
      <c r="B323" s="106"/>
      <c r="C323" s="107"/>
      <c r="D323" s="147"/>
      <c r="E323" s="147"/>
      <c r="F323" s="108"/>
      <c r="G323" s="108"/>
      <c r="H323" s="108"/>
      <c r="I323" s="109"/>
      <c r="J323" s="81"/>
    </row>
    <row r="324" spans="2:10" ht="18.75" customHeight="1" x14ac:dyDescent="0.25">
      <c r="B324" s="103"/>
      <c r="C324" s="104"/>
      <c r="D324" s="104"/>
      <c r="E324" s="104"/>
      <c r="F324" s="104"/>
      <c r="G324" s="104"/>
      <c r="H324" s="104"/>
      <c r="I324" s="105"/>
      <c r="J324" s="81"/>
    </row>
    <row r="325" spans="2:10" ht="18.75" customHeight="1" x14ac:dyDescent="0.25">
      <c r="B325" s="515" t="s">
        <v>136</v>
      </c>
      <c r="C325" s="516"/>
      <c r="D325" s="516"/>
      <c r="E325" s="516"/>
      <c r="F325" s="516"/>
      <c r="G325" s="516"/>
      <c r="H325" s="516"/>
      <c r="I325" s="517"/>
      <c r="J325" s="81"/>
    </row>
    <row r="326" spans="2:10" ht="18.75" customHeight="1" x14ac:dyDescent="0.25">
      <c r="B326" s="518" t="s">
        <v>57</v>
      </c>
      <c r="C326" s="519"/>
      <c r="D326" s="83">
        <f>I338</f>
        <v>46.47</v>
      </c>
      <c r="E326" s="84"/>
      <c r="F326" s="84"/>
      <c r="G326" s="85"/>
      <c r="H326" s="85"/>
      <c r="I326" s="86" t="s">
        <v>63</v>
      </c>
      <c r="J326" s="81"/>
    </row>
    <row r="327" spans="2:10" ht="18.75" customHeight="1" x14ac:dyDescent="0.25">
      <c r="B327" s="520"/>
      <c r="C327" s="521"/>
      <c r="D327" s="521"/>
      <c r="E327" s="521"/>
      <c r="F327" s="521"/>
      <c r="G327" s="521"/>
      <c r="H327" s="521"/>
      <c r="I327" s="522"/>
      <c r="J327" s="81"/>
    </row>
    <row r="328" spans="2:10" ht="18.75" customHeight="1" x14ac:dyDescent="0.25">
      <c r="B328" s="87" t="s">
        <v>44</v>
      </c>
      <c r="C328" s="88" t="s">
        <v>45</v>
      </c>
      <c r="D328" s="88"/>
      <c r="E328" s="88"/>
      <c r="F328" s="88" t="s">
        <v>46</v>
      </c>
      <c r="G328" s="88" t="s">
        <v>47</v>
      </c>
      <c r="H328" s="88" t="s">
        <v>48</v>
      </c>
      <c r="I328" s="89" t="s">
        <v>49</v>
      </c>
      <c r="J328" s="81"/>
    </row>
    <row r="329" spans="2:10" ht="18.75" customHeight="1" x14ac:dyDescent="0.25">
      <c r="B329" s="523" t="s">
        <v>50</v>
      </c>
      <c r="C329" s="524"/>
      <c r="D329" s="524"/>
      <c r="E329" s="524"/>
      <c r="F329" s="524"/>
      <c r="G329" s="524"/>
      <c r="H329" s="524"/>
      <c r="I329" s="525"/>
      <c r="J329" s="81"/>
    </row>
    <row r="330" spans="2:10" ht="18.75" customHeight="1" x14ac:dyDescent="0.25">
      <c r="B330" s="132" t="s">
        <v>81</v>
      </c>
      <c r="C330" s="131" t="s">
        <v>61</v>
      </c>
      <c r="D330" s="139"/>
      <c r="E330" s="140"/>
      <c r="F330" s="133" t="s">
        <v>51</v>
      </c>
      <c r="G330" s="94">
        <v>0.5</v>
      </c>
      <c r="H330" s="94">
        <f>8.96/1.8946</f>
        <v>4.7292304444209865</v>
      </c>
      <c r="I330" s="90">
        <f>ROUND(G330*H330,2)</f>
        <v>2.36</v>
      </c>
      <c r="J330" s="81"/>
    </row>
    <row r="331" spans="2:10" ht="18.75" customHeight="1" x14ac:dyDescent="0.25">
      <c r="B331" s="506" t="s">
        <v>53</v>
      </c>
      <c r="C331" s="507"/>
      <c r="D331" s="507"/>
      <c r="E331" s="507"/>
      <c r="F331" s="507"/>
      <c r="G331" s="507"/>
      <c r="H331" s="507"/>
      <c r="I331" s="91">
        <f>SUM(I330:I330)</f>
        <v>2.36</v>
      </c>
      <c r="J331" s="81"/>
    </row>
    <row r="332" spans="2:10" ht="18.75" customHeight="1" x14ac:dyDescent="0.25">
      <c r="B332" s="523" t="s">
        <v>59</v>
      </c>
      <c r="C332" s="524"/>
      <c r="D332" s="524"/>
      <c r="E332" s="524"/>
      <c r="F332" s="524"/>
      <c r="G332" s="524"/>
      <c r="H332" s="524"/>
      <c r="I332" s="525"/>
      <c r="J332" s="81"/>
    </row>
    <row r="333" spans="2:10" ht="18.75" customHeight="1" x14ac:dyDescent="0.25">
      <c r="B333" s="132" t="s">
        <v>137</v>
      </c>
      <c r="C333" s="134" t="s">
        <v>141</v>
      </c>
      <c r="D333" s="131"/>
      <c r="E333" s="140"/>
      <c r="F333" s="133" t="s">
        <v>62</v>
      </c>
      <c r="G333" s="94">
        <v>1</v>
      </c>
      <c r="H333" s="94">
        <v>42</v>
      </c>
      <c r="I333" s="90">
        <f>ROUND(G333*H333,2)</f>
        <v>42</v>
      </c>
      <c r="J333" s="81"/>
    </row>
    <row r="334" spans="2:10" ht="18.75" customHeight="1" x14ac:dyDescent="0.25">
      <c r="B334" s="506" t="s">
        <v>60</v>
      </c>
      <c r="C334" s="507"/>
      <c r="D334" s="507"/>
      <c r="E334" s="507"/>
      <c r="F334" s="507"/>
      <c r="G334" s="507"/>
      <c r="H334" s="507"/>
      <c r="I334" s="91">
        <f>SUM(I333)</f>
        <v>42</v>
      </c>
      <c r="J334" s="81"/>
    </row>
    <row r="335" spans="2:10" ht="18.75" customHeight="1" x14ac:dyDescent="0.25">
      <c r="B335" s="508"/>
      <c r="C335" s="509"/>
      <c r="D335" s="509"/>
      <c r="E335" s="509"/>
      <c r="F335" s="509"/>
      <c r="G335" s="509"/>
      <c r="H335" s="509"/>
      <c r="I335" s="510"/>
      <c r="J335" s="81"/>
    </row>
    <row r="336" spans="2:10" ht="18.75" customHeight="1" x14ac:dyDescent="0.25">
      <c r="B336" s="511" t="s">
        <v>54</v>
      </c>
      <c r="C336" s="512"/>
      <c r="D336" s="512"/>
      <c r="E336" s="512"/>
      <c r="F336" s="512"/>
      <c r="G336" s="512"/>
      <c r="H336" s="512"/>
      <c r="I336" s="92">
        <f>I331+I334</f>
        <v>44.36</v>
      </c>
      <c r="J336" s="81"/>
    </row>
    <row r="337" spans="2:10" ht="18.75" customHeight="1" x14ac:dyDescent="0.25">
      <c r="B337" s="511" t="s">
        <v>55</v>
      </c>
      <c r="C337" s="512"/>
      <c r="D337" s="512"/>
      <c r="E337" s="512"/>
      <c r="F337" s="512"/>
      <c r="G337" s="512"/>
      <c r="H337" s="512"/>
      <c r="I337" s="92">
        <f>ROUND(I331*$D$14,2)</f>
        <v>2.11</v>
      </c>
      <c r="J337" s="81"/>
    </row>
    <row r="338" spans="2:10" ht="18.75" customHeight="1" x14ac:dyDescent="0.25">
      <c r="B338" s="513" t="s">
        <v>56</v>
      </c>
      <c r="C338" s="514"/>
      <c r="D338" s="514"/>
      <c r="E338" s="514"/>
      <c r="F338" s="514"/>
      <c r="G338" s="514"/>
      <c r="H338" s="514"/>
      <c r="I338" s="93">
        <f>I336+I337</f>
        <v>46.47</v>
      </c>
      <c r="J338" s="81"/>
    </row>
    <row r="339" spans="2:10" ht="18.75" customHeight="1" x14ac:dyDescent="0.25">
      <c r="B339" s="168"/>
      <c r="C339" s="168"/>
      <c r="D339" s="168"/>
      <c r="E339" s="168"/>
      <c r="F339" s="168"/>
      <c r="G339" s="168"/>
      <c r="H339" s="168"/>
      <c r="I339" s="173"/>
      <c r="J339" s="81"/>
    </row>
    <row r="340" spans="2:10" ht="29.25" customHeight="1" x14ac:dyDescent="0.25">
      <c r="B340" s="515" t="s">
        <v>188</v>
      </c>
      <c r="C340" s="516"/>
      <c r="D340" s="516"/>
      <c r="E340" s="516"/>
      <c r="F340" s="516"/>
      <c r="G340" s="516"/>
      <c r="H340" s="516"/>
      <c r="I340" s="517"/>
      <c r="J340" s="81"/>
    </row>
    <row r="341" spans="2:10" ht="18.75" customHeight="1" x14ac:dyDescent="0.25">
      <c r="B341" s="518" t="s">
        <v>57</v>
      </c>
      <c r="C341" s="519"/>
      <c r="D341" s="83">
        <f>I361</f>
        <v>223.31</v>
      </c>
      <c r="E341" s="84"/>
      <c r="F341" s="84"/>
      <c r="G341" s="85"/>
      <c r="H341" s="85"/>
      <c r="I341" s="86" t="s">
        <v>172</v>
      </c>
      <c r="J341" s="81"/>
    </row>
    <row r="342" spans="2:10" ht="18.75" customHeight="1" x14ac:dyDescent="0.25">
      <c r="B342" s="520"/>
      <c r="C342" s="521"/>
      <c r="D342" s="521"/>
      <c r="E342" s="521"/>
      <c r="F342" s="521"/>
      <c r="G342" s="521"/>
      <c r="H342" s="521"/>
      <c r="I342" s="522"/>
      <c r="J342" s="81"/>
    </row>
    <row r="343" spans="2:10" ht="18.75" customHeight="1" x14ac:dyDescent="0.25">
      <c r="B343" s="87" t="s">
        <v>44</v>
      </c>
      <c r="C343" s="88" t="s">
        <v>45</v>
      </c>
      <c r="D343" s="88"/>
      <c r="E343" s="88"/>
      <c r="F343" s="88" t="s">
        <v>46</v>
      </c>
      <c r="G343" s="88" t="s">
        <v>47</v>
      </c>
      <c r="H343" s="88" t="s">
        <v>48</v>
      </c>
      <c r="I343" s="89" t="s">
        <v>49</v>
      </c>
      <c r="J343" s="81"/>
    </row>
    <row r="344" spans="2:10" ht="18.75" customHeight="1" x14ac:dyDescent="0.25">
      <c r="B344" s="523" t="s">
        <v>50</v>
      </c>
      <c r="C344" s="524"/>
      <c r="D344" s="524"/>
      <c r="E344" s="524"/>
      <c r="F344" s="524"/>
      <c r="G344" s="524"/>
      <c r="H344" s="524"/>
      <c r="I344" s="525"/>
      <c r="J344" s="81"/>
    </row>
    <row r="345" spans="2:10" ht="18.75" customHeight="1" x14ac:dyDescent="0.2">
      <c r="B345" s="166" t="s">
        <v>80</v>
      </c>
      <c r="C345" s="165" t="s">
        <v>52</v>
      </c>
      <c r="D345" s="135"/>
      <c r="E345" s="137"/>
      <c r="F345" s="135" t="s">
        <v>51</v>
      </c>
      <c r="G345" s="136">
        <v>2.5</v>
      </c>
      <c r="H345" s="94">
        <f>6.33/1.8946</f>
        <v>3.3410746331679508</v>
      </c>
      <c r="I345" s="90">
        <f>ROUND(G345*H345,2)</f>
        <v>8.35</v>
      </c>
      <c r="J345" s="81"/>
    </row>
    <row r="346" spans="2:10" ht="18.75" customHeight="1" x14ac:dyDescent="0.2">
      <c r="B346" s="138" t="s">
        <v>79</v>
      </c>
      <c r="C346" s="167" t="s">
        <v>78</v>
      </c>
      <c r="D346" s="135"/>
      <c r="E346" s="137"/>
      <c r="F346" s="135" t="s">
        <v>51</v>
      </c>
      <c r="G346" s="136">
        <v>1.5</v>
      </c>
      <c r="H346" s="136">
        <f>8.96/1.8946</f>
        <v>4.7292304444209865</v>
      </c>
      <c r="I346" s="90">
        <f>ROUND(G346*H346,2)</f>
        <v>7.09</v>
      </c>
      <c r="J346" s="81"/>
    </row>
    <row r="347" spans="2:10" ht="18.75" customHeight="1" x14ac:dyDescent="0.25">
      <c r="B347" s="506" t="s">
        <v>53</v>
      </c>
      <c r="C347" s="507"/>
      <c r="D347" s="507"/>
      <c r="E347" s="507"/>
      <c r="F347" s="507"/>
      <c r="G347" s="507"/>
      <c r="H347" s="507"/>
      <c r="I347" s="91">
        <f>SUM(I345:I346)</f>
        <v>15.44</v>
      </c>
      <c r="J347" s="81"/>
    </row>
    <row r="348" spans="2:10" ht="18.75" customHeight="1" x14ac:dyDescent="0.25">
      <c r="B348" s="523" t="s">
        <v>59</v>
      </c>
      <c r="C348" s="524"/>
      <c r="D348" s="524"/>
      <c r="E348" s="524"/>
      <c r="F348" s="524"/>
      <c r="G348" s="524"/>
      <c r="H348" s="524"/>
      <c r="I348" s="525"/>
      <c r="J348" s="81"/>
    </row>
    <row r="349" spans="2:10" s="78" customFormat="1" ht="18.75" customHeight="1" x14ac:dyDescent="0.2">
      <c r="B349" s="178" t="s">
        <v>92</v>
      </c>
      <c r="C349" s="179" t="s">
        <v>93</v>
      </c>
      <c r="D349" s="180"/>
      <c r="E349" s="181"/>
      <c r="F349" s="180" t="s">
        <v>90</v>
      </c>
      <c r="G349" s="182">
        <v>7.1999999999999998E-3</v>
      </c>
      <c r="H349" s="183">
        <v>50</v>
      </c>
      <c r="I349" s="184">
        <f>ROUND(G349*H349,2)</f>
        <v>0.36</v>
      </c>
      <c r="J349" s="97"/>
    </row>
    <row r="350" spans="2:10" s="78" customFormat="1" ht="18.75" customHeight="1" x14ac:dyDescent="0.2">
      <c r="B350" s="185" t="s">
        <v>173</v>
      </c>
      <c r="C350" s="179" t="s">
        <v>174</v>
      </c>
      <c r="D350" s="186"/>
      <c r="E350" s="187"/>
      <c r="F350" s="180" t="s">
        <v>64</v>
      </c>
      <c r="G350" s="183">
        <v>2.5</v>
      </c>
      <c r="H350" s="183">
        <v>17.899999999999999</v>
      </c>
      <c r="I350" s="184">
        <f t="shared" ref="I350:I356" si="6">ROUND(G350*H350,2)</f>
        <v>44.75</v>
      </c>
      <c r="J350" s="97"/>
    </row>
    <row r="351" spans="2:10" s="78" customFormat="1" ht="18.75" customHeight="1" x14ac:dyDescent="0.2">
      <c r="B351" s="185" t="s">
        <v>175</v>
      </c>
      <c r="C351" s="179" t="s">
        <v>176</v>
      </c>
      <c r="D351" s="186"/>
      <c r="E351" s="187"/>
      <c r="F351" s="180" t="s">
        <v>75</v>
      </c>
      <c r="G351" s="183">
        <v>0.49</v>
      </c>
      <c r="H351" s="183">
        <v>0.87</v>
      </c>
      <c r="I351" s="184">
        <f t="shared" si="6"/>
        <v>0.43</v>
      </c>
      <c r="J351" s="97"/>
    </row>
    <row r="352" spans="2:10" s="78" customFormat="1" ht="18.75" customHeight="1" x14ac:dyDescent="0.2">
      <c r="B352" s="178" t="s">
        <v>94</v>
      </c>
      <c r="C352" s="179" t="s">
        <v>95</v>
      </c>
      <c r="D352" s="180"/>
      <c r="E352" s="181"/>
      <c r="F352" s="180" t="s">
        <v>75</v>
      </c>
      <c r="G352" s="183">
        <v>2.0299999999999998</v>
      </c>
      <c r="H352" s="183">
        <v>0.63</v>
      </c>
      <c r="I352" s="184">
        <f t="shared" si="6"/>
        <v>1.28</v>
      </c>
      <c r="J352" s="97"/>
    </row>
    <row r="353" spans="2:10" s="78" customFormat="1" ht="18.75" customHeight="1" x14ac:dyDescent="0.2">
      <c r="B353" s="185" t="s">
        <v>177</v>
      </c>
      <c r="C353" s="179" t="s">
        <v>178</v>
      </c>
      <c r="D353" s="186"/>
      <c r="E353" s="187"/>
      <c r="F353" s="180" t="s">
        <v>62</v>
      </c>
      <c r="G353" s="183">
        <v>1.78</v>
      </c>
      <c r="H353" s="183">
        <v>5.15</v>
      </c>
      <c r="I353" s="184">
        <f t="shared" si="6"/>
        <v>9.17</v>
      </c>
      <c r="J353" s="97"/>
    </row>
    <row r="354" spans="2:10" s="78" customFormat="1" ht="18.75" customHeight="1" x14ac:dyDescent="0.2">
      <c r="B354" s="185" t="s">
        <v>179</v>
      </c>
      <c r="C354" s="179" t="s">
        <v>180</v>
      </c>
      <c r="D354" s="186"/>
      <c r="E354" s="187"/>
      <c r="F354" s="180" t="s">
        <v>62</v>
      </c>
      <c r="G354" s="183">
        <v>0.59</v>
      </c>
      <c r="H354" s="183">
        <v>46.17</v>
      </c>
      <c r="I354" s="184">
        <f t="shared" si="6"/>
        <v>27.24</v>
      </c>
      <c r="J354" s="97"/>
    </row>
    <row r="355" spans="2:10" s="78" customFormat="1" ht="18.75" customHeight="1" x14ac:dyDescent="0.2">
      <c r="B355" s="185" t="s">
        <v>89</v>
      </c>
      <c r="C355" s="179" t="s">
        <v>189</v>
      </c>
      <c r="D355" s="186"/>
      <c r="E355" s="187"/>
      <c r="F355" s="180" t="s">
        <v>62</v>
      </c>
      <c r="G355" s="188">
        <v>1</v>
      </c>
      <c r="H355" s="189">
        <v>26.93</v>
      </c>
      <c r="I355" s="184">
        <f t="shared" si="6"/>
        <v>26.93</v>
      </c>
      <c r="J355" s="97"/>
    </row>
    <row r="356" spans="2:10" ht="18.75" customHeight="1" x14ac:dyDescent="0.2">
      <c r="B356" s="177" t="s">
        <v>181</v>
      </c>
      <c r="C356" s="179" t="s">
        <v>182</v>
      </c>
      <c r="D356" s="179"/>
      <c r="E356" s="179"/>
      <c r="F356" s="180" t="s">
        <v>91</v>
      </c>
      <c r="G356" s="136">
        <v>1</v>
      </c>
      <c r="H356" s="136">
        <v>83.9</v>
      </c>
      <c r="I356" s="90">
        <f t="shared" si="6"/>
        <v>83.9</v>
      </c>
      <c r="J356" s="81"/>
    </row>
    <row r="357" spans="2:10" ht="18.75" customHeight="1" x14ac:dyDescent="0.25">
      <c r="B357" s="506" t="s">
        <v>60</v>
      </c>
      <c r="C357" s="507"/>
      <c r="D357" s="507"/>
      <c r="E357" s="507"/>
      <c r="F357" s="507"/>
      <c r="G357" s="507"/>
      <c r="H357" s="507"/>
      <c r="I357" s="91">
        <f>SUM(I349:J356)</f>
        <v>194.06</v>
      </c>
      <c r="J357" s="81"/>
    </row>
    <row r="358" spans="2:10" ht="18.75" customHeight="1" x14ac:dyDescent="0.25">
      <c r="B358" s="508"/>
      <c r="C358" s="509"/>
      <c r="D358" s="509"/>
      <c r="E358" s="509"/>
      <c r="F358" s="509"/>
      <c r="G358" s="509"/>
      <c r="H358" s="509"/>
      <c r="I358" s="510"/>
      <c r="J358" s="81"/>
    </row>
    <row r="359" spans="2:10" ht="18.75" customHeight="1" x14ac:dyDescent="0.25">
      <c r="B359" s="511" t="s">
        <v>54</v>
      </c>
      <c r="C359" s="512"/>
      <c r="D359" s="512"/>
      <c r="E359" s="512"/>
      <c r="F359" s="512"/>
      <c r="G359" s="512"/>
      <c r="H359" s="512"/>
      <c r="I359" s="92">
        <f>I347+I357</f>
        <v>209.5</v>
      </c>
      <c r="J359" s="81"/>
    </row>
    <row r="360" spans="2:10" ht="18.75" customHeight="1" x14ac:dyDescent="0.25">
      <c r="B360" s="511" t="s">
        <v>55</v>
      </c>
      <c r="C360" s="512"/>
      <c r="D360" s="512"/>
      <c r="E360" s="512"/>
      <c r="F360" s="512"/>
      <c r="G360" s="512"/>
      <c r="H360" s="512"/>
      <c r="I360" s="92">
        <f>ROUND(I347*$D$14,2)</f>
        <v>13.81</v>
      </c>
      <c r="J360" s="81"/>
    </row>
    <row r="361" spans="2:10" ht="18.75" customHeight="1" x14ac:dyDescent="0.25">
      <c r="B361" s="513" t="s">
        <v>56</v>
      </c>
      <c r="C361" s="514"/>
      <c r="D361" s="514"/>
      <c r="E361" s="514"/>
      <c r="F361" s="514"/>
      <c r="G361" s="514"/>
      <c r="H361" s="514"/>
      <c r="I361" s="93">
        <f>I359+I360</f>
        <v>223.31</v>
      </c>
      <c r="J361" s="81"/>
    </row>
    <row r="362" spans="2:10" ht="18" customHeight="1" x14ac:dyDescent="0.25">
      <c r="B362" s="97"/>
      <c r="C362" s="97"/>
      <c r="D362" s="97"/>
      <c r="E362" s="97"/>
      <c r="F362" s="97"/>
      <c r="G362" s="97"/>
      <c r="H362" s="97"/>
      <c r="I362" s="97"/>
      <c r="J362" s="81"/>
    </row>
    <row r="363" spans="2:10" ht="42" customHeight="1" x14ac:dyDescent="0.25">
      <c r="B363" s="515" t="s">
        <v>169</v>
      </c>
      <c r="C363" s="516"/>
      <c r="D363" s="516"/>
      <c r="E363" s="516"/>
      <c r="F363" s="516"/>
      <c r="G363" s="516"/>
      <c r="H363" s="516"/>
      <c r="I363" s="517"/>
    </row>
    <row r="364" spans="2:10" ht="18" customHeight="1" x14ac:dyDescent="0.25">
      <c r="B364" s="518" t="s">
        <v>57</v>
      </c>
      <c r="C364" s="519"/>
      <c r="D364" s="83">
        <f>I389</f>
        <v>120.69</v>
      </c>
      <c r="E364" s="84"/>
      <c r="F364" s="84"/>
      <c r="G364" s="85"/>
      <c r="H364" s="85"/>
      <c r="I364" s="86" t="s">
        <v>77</v>
      </c>
    </row>
    <row r="365" spans="2:10" ht="18" customHeight="1" x14ac:dyDescent="0.25">
      <c r="B365" s="520"/>
      <c r="C365" s="521"/>
      <c r="D365" s="521"/>
      <c r="E365" s="521"/>
      <c r="F365" s="521"/>
      <c r="G365" s="521"/>
      <c r="H365" s="521"/>
      <c r="I365" s="522"/>
    </row>
    <row r="366" spans="2:10" ht="18" customHeight="1" x14ac:dyDescent="0.25">
      <c r="B366" s="87" t="s">
        <v>44</v>
      </c>
      <c r="C366" s="88" t="s">
        <v>45</v>
      </c>
      <c r="D366" s="88"/>
      <c r="E366" s="88"/>
      <c r="F366" s="88" t="s">
        <v>46</v>
      </c>
      <c r="G366" s="88" t="s">
        <v>47</v>
      </c>
      <c r="H366" s="88" t="s">
        <v>48</v>
      </c>
      <c r="I366" s="89" t="s">
        <v>49</v>
      </c>
    </row>
    <row r="367" spans="2:10" ht="18" customHeight="1" x14ac:dyDescent="0.25">
      <c r="B367" s="523" t="s">
        <v>50</v>
      </c>
      <c r="C367" s="524"/>
      <c r="D367" s="524"/>
      <c r="E367" s="524"/>
      <c r="F367" s="524"/>
      <c r="G367" s="524"/>
      <c r="H367" s="524"/>
      <c r="I367" s="525"/>
    </row>
    <row r="368" spans="2:10" ht="18" customHeight="1" x14ac:dyDescent="0.2">
      <c r="B368" s="159" t="s">
        <v>143</v>
      </c>
      <c r="C368" s="158" t="s">
        <v>144</v>
      </c>
      <c r="D368" s="169"/>
      <c r="E368" s="170"/>
      <c r="F368" s="160" t="s">
        <v>51</v>
      </c>
      <c r="G368" s="94">
        <v>1.2</v>
      </c>
      <c r="H368" s="94">
        <f>6.33/1.8946</f>
        <v>3.3410746331679508</v>
      </c>
      <c r="I368" s="94">
        <f>ROUND(G368*H368,2)</f>
        <v>4.01</v>
      </c>
    </row>
    <row r="369" spans="2:9" ht="18" customHeight="1" x14ac:dyDescent="0.2">
      <c r="B369" s="159" t="s">
        <v>145</v>
      </c>
      <c r="C369" s="158" t="s">
        <v>146</v>
      </c>
      <c r="D369" s="169"/>
      <c r="E369" s="170"/>
      <c r="F369" s="160" t="s">
        <v>51</v>
      </c>
      <c r="G369" s="94">
        <v>1.8</v>
      </c>
      <c r="H369" s="94">
        <f>8.96/1.8946</f>
        <v>4.7292304444209865</v>
      </c>
      <c r="I369" s="94">
        <f>ROUND(G369*H369,2)</f>
        <v>8.51</v>
      </c>
    </row>
    <row r="370" spans="2:9" ht="18" customHeight="1" x14ac:dyDescent="0.2">
      <c r="B370" s="138" t="s">
        <v>79</v>
      </c>
      <c r="C370" s="161" t="s">
        <v>78</v>
      </c>
      <c r="D370" s="135"/>
      <c r="E370" s="137"/>
      <c r="F370" s="135" t="s">
        <v>51</v>
      </c>
      <c r="G370" s="94">
        <v>0.8</v>
      </c>
      <c r="H370" s="94">
        <f>8.96/1.8946</f>
        <v>4.7292304444209865</v>
      </c>
      <c r="I370" s="94">
        <f>ROUND(G370*H370,2)</f>
        <v>3.78</v>
      </c>
    </row>
    <row r="371" spans="2:9" ht="18" customHeight="1" x14ac:dyDescent="0.2">
      <c r="B371" s="159" t="s">
        <v>80</v>
      </c>
      <c r="C371" s="158" t="s">
        <v>52</v>
      </c>
      <c r="D371" s="135"/>
      <c r="E371" s="137"/>
      <c r="F371" s="135" t="s">
        <v>51</v>
      </c>
      <c r="G371" s="94">
        <v>0.3</v>
      </c>
      <c r="H371" s="94">
        <f>6.33/1.8946</f>
        <v>3.3410746331679508</v>
      </c>
      <c r="I371" s="94">
        <f>ROUND(G371*H371,2)</f>
        <v>1</v>
      </c>
    </row>
    <row r="372" spans="2:9" ht="18" customHeight="1" x14ac:dyDescent="0.2">
      <c r="B372" s="159" t="s">
        <v>170</v>
      </c>
      <c r="C372" s="158" t="s">
        <v>147</v>
      </c>
      <c r="D372" s="169"/>
      <c r="E372" s="171"/>
      <c r="F372" s="160" t="s">
        <v>51</v>
      </c>
      <c r="G372" s="94">
        <v>0.8</v>
      </c>
      <c r="H372" s="94">
        <f>8.96/1.8946</f>
        <v>4.7292304444209865</v>
      </c>
      <c r="I372" s="94">
        <f>ROUND(G372*H372,2)</f>
        <v>3.78</v>
      </c>
    </row>
    <row r="373" spans="2:9" ht="18" customHeight="1" x14ac:dyDescent="0.25">
      <c r="B373" s="506" t="s">
        <v>53</v>
      </c>
      <c r="C373" s="507"/>
      <c r="D373" s="507"/>
      <c r="E373" s="507"/>
      <c r="F373" s="507"/>
      <c r="G373" s="507"/>
      <c r="H373" s="507"/>
      <c r="I373" s="91">
        <f>SUM(I368:I372)</f>
        <v>21.080000000000002</v>
      </c>
    </row>
    <row r="374" spans="2:9" ht="18" customHeight="1" x14ac:dyDescent="0.25">
      <c r="B374" s="523" t="s">
        <v>59</v>
      </c>
      <c r="C374" s="524"/>
      <c r="D374" s="524"/>
      <c r="E374" s="524"/>
      <c r="F374" s="524"/>
      <c r="G374" s="524"/>
      <c r="H374" s="524"/>
      <c r="I374" s="525"/>
    </row>
    <row r="375" spans="2:9" ht="18" customHeight="1" x14ac:dyDescent="0.2">
      <c r="B375" s="159" t="s">
        <v>148</v>
      </c>
      <c r="C375" s="158" t="s">
        <v>93</v>
      </c>
      <c r="D375" s="169"/>
      <c r="E375" s="171"/>
      <c r="F375" s="160" t="s">
        <v>149</v>
      </c>
      <c r="G375" s="172">
        <f>0.006</f>
        <v>6.0000000000000001E-3</v>
      </c>
      <c r="H375" s="141">
        <v>50</v>
      </c>
      <c r="I375" s="90">
        <f t="shared" ref="I375:I384" si="7">ROUND(G375*H375,2)</f>
        <v>0.3</v>
      </c>
    </row>
    <row r="376" spans="2:9" ht="18" customHeight="1" x14ac:dyDescent="0.2">
      <c r="B376" s="159" t="s">
        <v>150</v>
      </c>
      <c r="C376" s="158" t="s">
        <v>151</v>
      </c>
      <c r="D376" s="169"/>
      <c r="E376" s="171"/>
      <c r="F376" s="160" t="s">
        <v>152</v>
      </c>
      <c r="G376" s="94">
        <v>4</v>
      </c>
      <c r="H376" s="94">
        <v>0.12</v>
      </c>
      <c r="I376" s="90">
        <f t="shared" si="7"/>
        <v>0.48</v>
      </c>
    </row>
    <row r="377" spans="2:9" ht="21" customHeight="1" x14ac:dyDescent="0.2">
      <c r="B377" s="159" t="s">
        <v>153</v>
      </c>
      <c r="C377" s="505" t="s">
        <v>154</v>
      </c>
      <c r="D377" s="505"/>
      <c r="E377" s="171"/>
      <c r="F377" s="160" t="s">
        <v>64</v>
      </c>
      <c r="G377" s="94">
        <v>0.9</v>
      </c>
      <c r="H377" s="94">
        <v>26.5</v>
      </c>
      <c r="I377" s="90">
        <f t="shared" si="7"/>
        <v>23.85</v>
      </c>
    </row>
    <row r="378" spans="2:9" ht="18" customHeight="1" x14ac:dyDescent="0.2">
      <c r="B378" s="159" t="s">
        <v>94</v>
      </c>
      <c r="C378" s="158" t="s">
        <v>155</v>
      </c>
      <c r="D378" s="169"/>
      <c r="E378" s="171"/>
      <c r="F378" s="160" t="s">
        <v>75</v>
      </c>
      <c r="G378" s="94">
        <v>1.2</v>
      </c>
      <c r="H378" s="94">
        <v>0.63</v>
      </c>
      <c r="I378" s="90">
        <f t="shared" si="7"/>
        <v>0.76</v>
      </c>
    </row>
    <row r="379" spans="2:9" ht="18" customHeight="1" x14ac:dyDescent="0.25">
      <c r="B379" s="159" t="s">
        <v>171</v>
      </c>
      <c r="C379" s="505" t="s">
        <v>156</v>
      </c>
      <c r="D379" s="505"/>
      <c r="E379" s="505"/>
      <c r="F379" s="160" t="s">
        <v>157</v>
      </c>
      <c r="G379" s="94">
        <v>0.2</v>
      </c>
      <c r="H379" s="94">
        <v>36.76</v>
      </c>
      <c r="I379" s="90">
        <f t="shared" si="7"/>
        <v>7.35</v>
      </c>
    </row>
    <row r="380" spans="2:9" ht="18" customHeight="1" x14ac:dyDescent="0.2">
      <c r="B380" s="159" t="s">
        <v>158</v>
      </c>
      <c r="C380" s="158" t="s">
        <v>159</v>
      </c>
      <c r="D380" s="169"/>
      <c r="E380" s="171"/>
      <c r="F380" s="160" t="s">
        <v>152</v>
      </c>
      <c r="G380" s="94">
        <v>4</v>
      </c>
      <c r="H380" s="94">
        <v>3.13</v>
      </c>
      <c r="I380" s="90">
        <f t="shared" si="7"/>
        <v>12.52</v>
      </c>
    </row>
    <row r="381" spans="2:9" ht="18" customHeight="1" x14ac:dyDescent="0.2">
      <c r="B381" s="157" t="s">
        <v>160</v>
      </c>
      <c r="C381" s="158" t="s">
        <v>161</v>
      </c>
      <c r="D381" s="169"/>
      <c r="E381" s="171"/>
      <c r="F381" s="160" t="s">
        <v>75</v>
      </c>
      <c r="G381" s="94">
        <v>0.5</v>
      </c>
      <c r="H381" s="94">
        <v>54.69</v>
      </c>
      <c r="I381" s="90">
        <f t="shared" si="7"/>
        <v>27.35</v>
      </c>
    </row>
    <row r="382" spans="2:9" ht="18" customHeight="1" x14ac:dyDescent="0.2">
      <c r="B382" s="159" t="s">
        <v>162</v>
      </c>
      <c r="C382" s="158" t="s">
        <v>163</v>
      </c>
      <c r="D382" s="169"/>
      <c r="E382" s="171"/>
      <c r="F382" s="160" t="s">
        <v>164</v>
      </c>
      <c r="G382" s="94">
        <v>0.3</v>
      </c>
      <c r="H382" s="94">
        <v>19.399999999999999</v>
      </c>
      <c r="I382" s="90">
        <f t="shared" si="7"/>
        <v>5.82</v>
      </c>
    </row>
    <row r="383" spans="2:9" ht="18" customHeight="1" x14ac:dyDescent="0.2">
      <c r="B383" s="159" t="s">
        <v>165</v>
      </c>
      <c r="C383" s="158" t="s">
        <v>166</v>
      </c>
      <c r="D383" s="169"/>
      <c r="E383" s="171"/>
      <c r="F383" s="160" t="s">
        <v>157</v>
      </c>
      <c r="G383" s="94">
        <v>0.04</v>
      </c>
      <c r="H383" s="94">
        <v>9.52</v>
      </c>
      <c r="I383" s="90">
        <f t="shared" si="7"/>
        <v>0.38</v>
      </c>
    </row>
    <row r="384" spans="2:9" ht="18" customHeight="1" x14ac:dyDescent="0.2">
      <c r="B384" s="159" t="s">
        <v>167</v>
      </c>
      <c r="C384" s="158" t="s">
        <v>168</v>
      </c>
      <c r="D384" s="169"/>
      <c r="E384" s="170"/>
      <c r="F384" s="160" t="s">
        <v>152</v>
      </c>
      <c r="G384" s="94">
        <v>1.1000000000000001</v>
      </c>
      <c r="H384" s="94">
        <v>1.76</v>
      </c>
      <c r="I384" s="90">
        <f t="shared" si="7"/>
        <v>1.94</v>
      </c>
    </row>
    <row r="385" spans="2:9" ht="18" customHeight="1" x14ac:dyDescent="0.25">
      <c r="B385" s="506" t="s">
        <v>60</v>
      </c>
      <c r="C385" s="507"/>
      <c r="D385" s="507"/>
      <c r="E385" s="507"/>
      <c r="F385" s="507"/>
      <c r="G385" s="507"/>
      <c r="H385" s="507"/>
      <c r="I385" s="91">
        <f>SUM(I375:I384)</f>
        <v>80.75</v>
      </c>
    </row>
    <row r="386" spans="2:9" ht="18" customHeight="1" x14ac:dyDescent="0.25">
      <c r="B386" s="508"/>
      <c r="C386" s="509"/>
      <c r="D386" s="509"/>
      <c r="E386" s="509"/>
      <c r="F386" s="509"/>
      <c r="G386" s="509"/>
      <c r="H386" s="509"/>
      <c r="I386" s="510"/>
    </row>
    <row r="387" spans="2:9" ht="18" customHeight="1" x14ac:dyDescent="0.25">
      <c r="B387" s="511" t="s">
        <v>54</v>
      </c>
      <c r="C387" s="512"/>
      <c r="D387" s="512"/>
      <c r="E387" s="512"/>
      <c r="F387" s="512"/>
      <c r="G387" s="512"/>
      <c r="H387" s="512"/>
      <c r="I387" s="92">
        <f>I373+I385</f>
        <v>101.83</v>
      </c>
    </row>
    <row r="388" spans="2:9" ht="18" customHeight="1" x14ac:dyDescent="0.25">
      <c r="B388" s="511" t="s">
        <v>55</v>
      </c>
      <c r="C388" s="512"/>
      <c r="D388" s="512"/>
      <c r="E388" s="512"/>
      <c r="F388" s="512"/>
      <c r="G388" s="512"/>
      <c r="H388" s="512"/>
      <c r="I388" s="92">
        <f>ROUND(I373*$D$14,2)</f>
        <v>18.86</v>
      </c>
    </row>
    <row r="389" spans="2:9" ht="18" customHeight="1" x14ac:dyDescent="0.25">
      <c r="B389" s="513" t="s">
        <v>56</v>
      </c>
      <c r="C389" s="514"/>
      <c r="D389" s="514"/>
      <c r="E389" s="514"/>
      <c r="F389" s="514"/>
      <c r="G389" s="514"/>
      <c r="H389" s="514"/>
      <c r="I389" s="93">
        <f>I387+I388</f>
        <v>120.69</v>
      </c>
    </row>
    <row r="390" spans="2:9" ht="18" customHeight="1" x14ac:dyDescent="0.25">
      <c r="B390" s="515" t="s">
        <v>194</v>
      </c>
      <c r="C390" s="516"/>
      <c r="D390" s="516"/>
      <c r="E390" s="516"/>
      <c r="F390" s="516"/>
      <c r="G390" s="516"/>
      <c r="H390" s="516"/>
      <c r="I390" s="517"/>
    </row>
    <row r="391" spans="2:9" ht="18" customHeight="1" x14ac:dyDescent="0.25">
      <c r="B391" s="518" t="s">
        <v>57</v>
      </c>
      <c r="C391" s="519"/>
      <c r="D391" s="83">
        <f>I405</f>
        <v>48.48</v>
      </c>
      <c r="E391" s="84"/>
      <c r="F391" s="84"/>
      <c r="G391" s="85"/>
      <c r="H391" s="85"/>
      <c r="I391" s="86" t="s">
        <v>63</v>
      </c>
    </row>
    <row r="392" spans="2:9" ht="18" customHeight="1" x14ac:dyDescent="0.25">
      <c r="B392" s="520"/>
      <c r="C392" s="521"/>
      <c r="D392" s="521"/>
      <c r="E392" s="521"/>
      <c r="F392" s="521"/>
      <c r="G392" s="521"/>
      <c r="H392" s="521"/>
      <c r="I392" s="522"/>
    </row>
    <row r="393" spans="2:9" ht="18" customHeight="1" x14ac:dyDescent="0.25">
      <c r="B393" s="87" t="s">
        <v>44</v>
      </c>
      <c r="C393" s="88" t="s">
        <v>45</v>
      </c>
      <c r="D393" s="88"/>
      <c r="E393" s="88"/>
      <c r="F393" s="88" t="s">
        <v>46</v>
      </c>
      <c r="G393" s="88" t="s">
        <v>47</v>
      </c>
      <c r="H393" s="88" t="s">
        <v>48</v>
      </c>
      <c r="I393" s="89" t="s">
        <v>49</v>
      </c>
    </row>
    <row r="394" spans="2:9" ht="18" customHeight="1" x14ac:dyDescent="0.25">
      <c r="B394" s="523" t="s">
        <v>50</v>
      </c>
      <c r="C394" s="524"/>
      <c r="D394" s="524"/>
      <c r="E394" s="524"/>
      <c r="F394" s="524"/>
      <c r="G394" s="524"/>
      <c r="H394" s="524"/>
      <c r="I394" s="525"/>
    </row>
    <row r="395" spans="2:9" ht="18" customHeight="1" x14ac:dyDescent="0.25">
      <c r="B395" s="204" t="s">
        <v>80</v>
      </c>
      <c r="C395" s="201" t="s">
        <v>52</v>
      </c>
      <c r="D395" s="139"/>
      <c r="E395" s="140"/>
      <c r="F395" s="205" t="s">
        <v>51</v>
      </c>
      <c r="G395" s="94">
        <v>0.4</v>
      </c>
      <c r="H395" s="94">
        <f>6.33/1.8946</f>
        <v>3.3410746331679508</v>
      </c>
      <c r="I395" s="90">
        <f>ROUND(G395*H395,2)</f>
        <v>1.34</v>
      </c>
    </row>
    <row r="396" spans="2:9" ht="18" customHeight="1" x14ac:dyDescent="0.25">
      <c r="B396" s="204" t="s">
        <v>81</v>
      </c>
      <c r="C396" s="201" t="s">
        <v>61</v>
      </c>
      <c r="D396" s="139"/>
      <c r="E396" s="140"/>
      <c r="F396" s="205" t="s">
        <v>51</v>
      </c>
      <c r="G396" s="94">
        <v>0.4</v>
      </c>
      <c r="H396" s="94">
        <f>9/1.8946</f>
        <v>4.7503430803335798</v>
      </c>
      <c r="I396" s="90">
        <f>ROUND(G396*H396,2)</f>
        <v>1.9</v>
      </c>
    </row>
    <row r="397" spans="2:9" ht="18" customHeight="1" x14ac:dyDescent="0.25">
      <c r="B397" s="506" t="s">
        <v>53</v>
      </c>
      <c r="C397" s="507"/>
      <c r="D397" s="507"/>
      <c r="E397" s="507"/>
      <c r="F397" s="507"/>
      <c r="G397" s="507"/>
      <c r="H397" s="507"/>
      <c r="I397" s="91">
        <f>SUM(I395:I396)</f>
        <v>3.24</v>
      </c>
    </row>
    <row r="398" spans="2:9" ht="18" customHeight="1" x14ac:dyDescent="0.25">
      <c r="B398" s="523" t="s">
        <v>59</v>
      </c>
      <c r="C398" s="524"/>
      <c r="D398" s="524"/>
      <c r="E398" s="524"/>
      <c r="F398" s="524"/>
      <c r="G398" s="524"/>
      <c r="H398" s="524"/>
      <c r="I398" s="525"/>
    </row>
    <row r="399" spans="2:9" ht="18" customHeight="1" x14ac:dyDescent="0.25">
      <c r="B399" s="204" t="s">
        <v>96</v>
      </c>
      <c r="C399" s="521" t="s">
        <v>195</v>
      </c>
      <c r="D399" s="521"/>
      <c r="E399" s="521"/>
      <c r="F399" s="205" t="s">
        <v>62</v>
      </c>
      <c r="G399" s="94">
        <v>1</v>
      </c>
      <c r="H399" s="94">
        <v>36.19</v>
      </c>
      <c r="I399" s="90">
        <f>ROUND(G399*H399,2)</f>
        <v>36.19</v>
      </c>
    </row>
    <row r="400" spans="2:9" ht="18" customHeight="1" x14ac:dyDescent="0.25">
      <c r="B400" s="204" t="s">
        <v>97</v>
      </c>
      <c r="C400" s="505" t="s">
        <v>196</v>
      </c>
      <c r="D400" s="505"/>
      <c r="E400" s="505"/>
      <c r="F400" s="205" t="s">
        <v>62</v>
      </c>
      <c r="G400" s="94">
        <v>1</v>
      </c>
      <c r="H400" s="94">
        <v>6.15</v>
      </c>
      <c r="I400" s="90">
        <f>ROUND(G400*H400,2)</f>
        <v>6.15</v>
      </c>
    </row>
    <row r="401" spans="2:9" ht="18" customHeight="1" x14ac:dyDescent="0.25">
      <c r="B401" s="506" t="s">
        <v>60</v>
      </c>
      <c r="C401" s="507"/>
      <c r="D401" s="507"/>
      <c r="E401" s="507"/>
      <c r="F401" s="507"/>
      <c r="G401" s="507"/>
      <c r="H401" s="507"/>
      <c r="I401" s="91">
        <f>SUM(I399:I400)</f>
        <v>42.339999999999996</v>
      </c>
    </row>
    <row r="402" spans="2:9" ht="18" customHeight="1" x14ac:dyDescent="0.25">
      <c r="B402" s="508"/>
      <c r="C402" s="509"/>
      <c r="D402" s="509"/>
      <c r="E402" s="509"/>
      <c r="F402" s="509"/>
      <c r="G402" s="509"/>
      <c r="H402" s="509"/>
      <c r="I402" s="510"/>
    </row>
    <row r="403" spans="2:9" ht="18" customHeight="1" x14ac:dyDescent="0.25">
      <c r="B403" s="511" t="s">
        <v>54</v>
      </c>
      <c r="C403" s="512"/>
      <c r="D403" s="512"/>
      <c r="E403" s="512"/>
      <c r="F403" s="512"/>
      <c r="G403" s="512"/>
      <c r="H403" s="512"/>
      <c r="I403" s="92">
        <f>I397+I401</f>
        <v>45.58</v>
      </c>
    </row>
    <row r="404" spans="2:9" ht="18" customHeight="1" x14ac:dyDescent="0.25">
      <c r="B404" s="511" t="s">
        <v>55</v>
      </c>
      <c r="C404" s="512"/>
      <c r="D404" s="512"/>
      <c r="E404" s="512"/>
      <c r="F404" s="512"/>
      <c r="G404" s="512"/>
      <c r="H404" s="512"/>
      <c r="I404" s="92">
        <f>ROUND(I397*$D$14,2)</f>
        <v>2.9</v>
      </c>
    </row>
    <row r="405" spans="2:9" ht="18" customHeight="1" x14ac:dyDescent="0.25">
      <c r="B405" s="513" t="s">
        <v>56</v>
      </c>
      <c r="C405" s="514"/>
      <c r="D405" s="514"/>
      <c r="E405" s="514"/>
      <c r="F405" s="514"/>
      <c r="G405" s="514"/>
      <c r="H405" s="514"/>
      <c r="I405" s="93">
        <f>I403+I404</f>
        <v>48.48</v>
      </c>
    </row>
    <row r="406" spans="2:9" ht="18" customHeight="1" x14ac:dyDescent="0.25">
      <c r="B406" s="142"/>
      <c r="C406" s="143"/>
      <c r="D406" s="144"/>
      <c r="E406" s="144"/>
      <c r="F406" s="145"/>
      <c r="G406" s="145"/>
      <c r="H406" s="145"/>
      <c r="I406" s="146"/>
    </row>
    <row r="407" spans="2:9" ht="18" customHeight="1" x14ac:dyDescent="0.25">
      <c r="B407" s="515" t="s">
        <v>197</v>
      </c>
      <c r="C407" s="516"/>
      <c r="D407" s="516"/>
      <c r="E407" s="516"/>
      <c r="F407" s="516"/>
      <c r="G407" s="516"/>
      <c r="H407" s="516"/>
      <c r="I407" s="517"/>
    </row>
    <row r="408" spans="2:9" ht="18" customHeight="1" x14ac:dyDescent="0.25">
      <c r="B408" s="518" t="s">
        <v>57</v>
      </c>
      <c r="C408" s="519"/>
      <c r="D408" s="83">
        <f>I424</f>
        <v>84.34</v>
      </c>
      <c r="E408" s="84"/>
      <c r="F408" s="84"/>
      <c r="G408" s="85"/>
      <c r="H408" s="85"/>
      <c r="I408" s="86" t="s">
        <v>63</v>
      </c>
    </row>
    <row r="409" spans="2:9" ht="18" customHeight="1" x14ac:dyDescent="0.25">
      <c r="B409" s="520"/>
      <c r="C409" s="521"/>
      <c r="D409" s="521"/>
      <c r="E409" s="521"/>
      <c r="F409" s="521"/>
      <c r="G409" s="521"/>
      <c r="H409" s="521"/>
      <c r="I409" s="522"/>
    </row>
    <row r="410" spans="2:9" ht="18" customHeight="1" x14ac:dyDescent="0.25">
      <c r="B410" s="87" t="s">
        <v>44</v>
      </c>
      <c r="C410" s="88" t="s">
        <v>45</v>
      </c>
      <c r="D410" s="88"/>
      <c r="E410" s="88"/>
      <c r="F410" s="88" t="s">
        <v>46</v>
      </c>
      <c r="G410" s="88" t="s">
        <v>47</v>
      </c>
      <c r="H410" s="88" t="s">
        <v>48</v>
      </c>
      <c r="I410" s="89" t="s">
        <v>49</v>
      </c>
    </row>
    <row r="411" spans="2:9" ht="18" customHeight="1" x14ac:dyDescent="0.25">
      <c r="B411" s="523" t="s">
        <v>50</v>
      </c>
      <c r="C411" s="524"/>
      <c r="D411" s="524"/>
      <c r="E411" s="524"/>
      <c r="F411" s="524"/>
      <c r="G411" s="524"/>
      <c r="H411" s="524"/>
      <c r="I411" s="525"/>
    </row>
    <row r="412" spans="2:9" ht="18" customHeight="1" x14ac:dyDescent="0.25">
      <c r="B412" s="204" t="s">
        <v>81</v>
      </c>
      <c r="C412" s="201" t="s">
        <v>61</v>
      </c>
      <c r="D412" s="139"/>
      <c r="E412" s="140"/>
      <c r="F412" s="205" t="s">
        <v>51</v>
      </c>
      <c r="G412" s="94">
        <v>3.5</v>
      </c>
      <c r="H412" s="94">
        <f>9/1.8946</f>
        <v>4.7503430803335798</v>
      </c>
      <c r="I412" s="90">
        <f>ROUND(G412*H412,2)</f>
        <v>16.63</v>
      </c>
    </row>
    <row r="413" spans="2:9" ht="18" customHeight="1" x14ac:dyDescent="0.25">
      <c r="B413" s="204" t="s">
        <v>80</v>
      </c>
      <c r="C413" s="201" t="s">
        <v>52</v>
      </c>
      <c r="D413" s="139"/>
      <c r="E413" s="140"/>
      <c r="F413" s="205" t="s">
        <v>51</v>
      </c>
      <c r="G413" s="94">
        <v>3.5</v>
      </c>
      <c r="H413" s="94">
        <f>6.33/1.8946</f>
        <v>3.3410746331679508</v>
      </c>
      <c r="I413" s="90">
        <f>ROUND(G413*H413,2)</f>
        <v>11.69</v>
      </c>
    </row>
    <row r="414" spans="2:9" ht="18" customHeight="1" x14ac:dyDescent="0.25">
      <c r="B414" s="506" t="s">
        <v>53</v>
      </c>
      <c r="C414" s="507"/>
      <c r="D414" s="507"/>
      <c r="E414" s="507"/>
      <c r="F414" s="507"/>
      <c r="G414" s="507"/>
      <c r="H414" s="507"/>
      <c r="I414" s="91">
        <f>SUM(I412:I413)</f>
        <v>28.32</v>
      </c>
    </row>
    <row r="415" spans="2:9" ht="18" customHeight="1" x14ac:dyDescent="0.25">
      <c r="B415" s="523" t="s">
        <v>59</v>
      </c>
      <c r="C415" s="524"/>
      <c r="D415" s="524"/>
      <c r="E415" s="524"/>
      <c r="F415" s="524"/>
      <c r="G415" s="524"/>
      <c r="H415" s="524"/>
      <c r="I415" s="525"/>
    </row>
    <row r="416" spans="2:9" ht="18" customHeight="1" x14ac:dyDescent="0.25">
      <c r="B416" s="204" t="s">
        <v>98</v>
      </c>
      <c r="C416" s="201" t="s">
        <v>99</v>
      </c>
      <c r="D416" s="201"/>
      <c r="E416" s="140"/>
      <c r="F416" s="205" t="s">
        <v>62</v>
      </c>
      <c r="G416" s="94">
        <v>1</v>
      </c>
      <c r="H416" s="94">
        <v>1.39</v>
      </c>
      <c r="I416" s="90">
        <f>ROUND(G416*H416,2)</f>
        <v>1.39</v>
      </c>
    </row>
    <row r="417" spans="2:9" ht="18" customHeight="1" x14ac:dyDescent="0.25">
      <c r="B417" s="204" t="s">
        <v>100</v>
      </c>
      <c r="C417" s="505" t="s">
        <v>101</v>
      </c>
      <c r="D417" s="505"/>
      <c r="E417" s="140"/>
      <c r="F417" s="205" t="s">
        <v>64</v>
      </c>
      <c r="G417" s="94">
        <v>6</v>
      </c>
      <c r="H417" s="94">
        <v>1.98</v>
      </c>
      <c r="I417" s="90">
        <f>ROUND(G417*H417,2)</f>
        <v>11.88</v>
      </c>
    </row>
    <row r="418" spans="2:9" ht="18" customHeight="1" x14ac:dyDescent="0.25">
      <c r="B418" s="204" t="s">
        <v>198</v>
      </c>
      <c r="C418" s="505" t="s">
        <v>199</v>
      </c>
      <c r="D418" s="505"/>
      <c r="E418" s="505"/>
      <c r="F418" s="205" t="s">
        <v>62</v>
      </c>
      <c r="G418" s="94">
        <v>1</v>
      </c>
      <c r="H418" s="94">
        <v>12.61</v>
      </c>
      <c r="I418" s="90">
        <f>ROUND(G418*H418,2)</f>
        <v>12.61</v>
      </c>
    </row>
    <row r="419" spans="2:9" ht="18" customHeight="1" x14ac:dyDescent="0.25">
      <c r="B419" s="204" t="s">
        <v>200</v>
      </c>
      <c r="C419" s="201" t="s">
        <v>201</v>
      </c>
      <c r="D419" s="201"/>
      <c r="E419" s="140"/>
      <c r="F419" s="205" t="s">
        <v>64</v>
      </c>
      <c r="G419" s="94">
        <v>12</v>
      </c>
      <c r="H419" s="94">
        <v>0.4</v>
      </c>
      <c r="I419" s="90">
        <f>ROUND(G419*H419,2)</f>
        <v>4.8</v>
      </c>
    </row>
    <row r="420" spans="2:9" ht="18" customHeight="1" x14ac:dyDescent="0.25">
      <c r="B420" s="506" t="s">
        <v>60</v>
      </c>
      <c r="C420" s="507"/>
      <c r="D420" s="507"/>
      <c r="E420" s="507"/>
      <c r="F420" s="507"/>
      <c r="G420" s="507"/>
      <c r="H420" s="507"/>
      <c r="I420" s="91">
        <f>SUM(I416:I419)</f>
        <v>30.680000000000003</v>
      </c>
    </row>
    <row r="421" spans="2:9" ht="18" customHeight="1" x14ac:dyDescent="0.25">
      <c r="B421" s="508"/>
      <c r="C421" s="509"/>
      <c r="D421" s="509"/>
      <c r="E421" s="509"/>
      <c r="F421" s="509"/>
      <c r="G421" s="509"/>
      <c r="H421" s="509"/>
      <c r="I421" s="510"/>
    </row>
    <row r="422" spans="2:9" ht="18" customHeight="1" x14ac:dyDescent="0.25">
      <c r="B422" s="511" t="s">
        <v>54</v>
      </c>
      <c r="C422" s="512"/>
      <c r="D422" s="512"/>
      <c r="E422" s="512"/>
      <c r="F422" s="512"/>
      <c r="G422" s="512"/>
      <c r="H422" s="512"/>
      <c r="I422" s="92">
        <f>I414+I420</f>
        <v>59</v>
      </c>
    </row>
    <row r="423" spans="2:9" ht="18" customHeight="1" x14ac:dyDescent="0.25">
      <c r="B423" s="511" t="s">
        <v>55</v>
      </c>
      <c r="C423" s="512"/>
      <c r="D423" s="512"/>
      <c r="E423" s="512"/>
      <c r="F423" s="512"/>
      <c r="G423" s="512"/>
      <c r="H423" s="512"/>
      <c r="I423" s="92">
        <f>ROUND(I414*$D$14,2)</f>
        <v>25.34</v>
      </c>
    </row>
    <row r="424" spans="2:9" ht="18" customHeight="1" x14ac:dyDescent="0.25">
      <c r="B424" s="513" t="s">
        <v>56</v>
      </c>
      <c r="C424" s="514"/>
      <c r="D424" s="514"/>
      <c r="E424" s="514"/>
      <c r="F424" s="514"/>
      <c r="G424" s="514"/>
      <c r="H424" s="514"/>
      <c r="I424" s="93">
        <f>I422+I423</f>
        <v>84.34</v>
      </c>
    </row>
    <row r="425" spans="2:9" ht="18" customHeight="1" x14ac:dyDescent="0.25">
      <c r="B425" s="106"/>
      <c r="C425" s="107"/>
      <c r="D425" s="147"/>
      <c r="E425" s="147"/>
      <c r="F425" s="108"/>
      <c r="G425" s="108"/>
      <c r="H425" s="108"/>
      <c r="I425" s="109"/>
    </row>
    <row r="426" spans="2:9" ht="18" customHeight="1" x14ac:dyDescent="0.25">
      <c r="B426" s="515" t="s">
        <v>68</v>
      </c>
      <c r="C426" s="516"/>
      <c r="D426" s="516"/>
      <c r="E426" s="516"/>
      <c r="F426" s="516"/>
      <c r="G426" s="516"/>
      <c r="H426" s="516"/>
      <c r="I426" s="517"/>
    </row>
    <row r="427" spans="2:9" ht="18" customHeight="1" x14ac:dyDescent="0.25">
      <c r="B427" s="518" t="s">
        <v>57</v>
      </c>
      <c r="C427" s="519"/>
      <c r="D427" s="83">
        <f>I446</f>
        <v>86.08</v>
      </c>
      <c r="E427" s="84"/>
      <c r="F427" s="84"/>
      <c r="G427" s="85"/>
      <c r="H427" s="85"/>
      <c r="I427" s="86" t="s">
        <v>63</v>
      </c>
    </row>
    <row r="428" spans="2:9" ht="18" customHeight="1" x14ac:dyDescent="0.25">
      <c r="B428" s="520"/>
      <c r="C428" s="521"/>
      <c r="D428" s="521"/>
      <c r="E428" s="521"/>
      <c r="F428" s="521"/>
      <c r="G428" s="521"/>
      <c r="H428" s="521"/>
      <c r="I428" s="522"/>
    </row>
    <row r="429" spans="2:9" ht="18" customHeight="1" x14ac:dyDescent="0.25">
      <c r="B429" s="87" t="s">
        <v>44</v>
      </c>
      <c r="C429" s="88" t="s">
        <v>45</v>
      </c>
      <c r="D429" s="88"/>
      <c r="E429" s="88"/>
      <c r="F429" s="88" t="s">
        <v>46</v>
      </c>
      <c r="G429" s="88" t="s">
        <v>47</v>
      </c>
      <c r="H429" s="88" t="s">
        <v>48</v>
      </c>
      <c r="I429" s="89" t="s">
        <v>49</v>
      </c>
    </row>
    <row r="430" spans="2:9" ht="18" customHeight="1" x14ac:dyDescent="0.25">
      <c r="B430" s="523" t="s">
        <v>50</v>
      </c>
      <c r="C430" s="524"/>
      <c r="D430" s="524"/>
      <c r="E430" s="524"/>
      <c r="F430" s="524"/>
      <c r="G430" s="524"/>
      <c r="H430" s="524"/>
      <c r="I430" s="525"/>
    </row>
    <row r="431" spans="2:9" ht="18" customHeight="1" x14ac:dyDescent="0.25">
      <c r="B431" s="204" t="s">
        <v>102</v>
      </c>
      <c r="C431" s="201" t="s">
        <v>103</v>
      </c>
      <c r="D431" s="139"/>
      <c r="E431" s="140"/>
      <c r="F431" s="205" t="s">
        <v>51</v>
      </c>
      <c r="G431" s="94">
        <v>3</v>
      </c>
      <c r="H431" s="94">
        <f>6.95/1.8946</f>
        <v>3.6683204898131532</v>
      </c>
      <c r="I431" s="90">
        <f>ROUND(G431*H431,2)</f>
        <v>11</v>
      </c>
    </row>
    <row r="432" spans="2:9" ht="18" customHeight="1" x14ac:dyDescent="0.25">
      <c r="B432" s="204" t="s">
        <v>81</v>
      </c>
      <c r="C432" s="201" t="s">
        <v>61</v>
      </c>
      <c r="D432" s="139"/>
      <c r="E432" s="140"/>
      <c r="F432" s="205" t="s">
        <v>51</v>
      </c>
      <c r="G432" s="94">
        <v>3</v>
      </c>
      <c r="H432" s="94">
        <f>9/1.8946</f>
        <v>4.7503430803335798</v>
      </c>
      <c r="I432" s="90">
        <f>ROUND(G432*H432,2)</f>
        <v>14.25</v>
      </c>
    </row>
    <row r="433" spans="2:9" ht="18" customHeight="1" x14ac:dyDescent="0.25">
      <c r="B433" s="204" t="s">
        <v>80</v>
      </c>
      <c r="C433" s="201" t="s">
        <v>52</v>
      </c>
      <c r="D433" s="139"/>
      <c r="E433" s="140"/>
      <c r="F433" s="205" t="s">
        <v>51</v>
      </c>
      <c r="G433" s="94">
        <v>2.5</v>
      </c>
      <c r="H433" s="94">
        <f>6.33/1.8946</f>
        <v>3.3410746331679508</v>
      </c>
      <c r="I433" s="90">
        <f>ROUND(G433*H433,2)</f>
        <v>8.35</v>
      </c>
    </row>
    <row r="434" spans="2:9" ht="18" customHeight="1" x14ac:dyDescent="0.25">
      <c r="B434" s="506" t="s">
        <v>53</v>
      </c>
      <c r="C434" s="507"/>
      <c r="D434" s="507"/>
      <c r="E434" s="507"/>
      <c r="F434" s="507"/>
      <c r="G434" s="507"/>
      <c r="H434" s="507"/>
      <c r="I434" s="91">
        <f>SUM(I431:I433)</f>
        <v>33.6</v>
      </c>
    </row>
    <row r="435" spans="2:9" ht="18" customHeight="1" x14ac:dyDescent="0.25">
      <c r="B435" s="523" t="s">
        <v>59</v>
      </c>
      <c r="C435" s="524"/>
      <c r="D435" s="524"/>
      <c r="E435" s="524"/>
      <c r="F435" s="524"/>
      <c r="G435" s="524"/>
      <c r="H435" s="524"/>
      <c r="I435" s="525"/>
    </row>
    <row r="436" spans="2:9" ht="18" customHeight="1" x14ac:dyDescent="0.25">
      <c r="B436" s="185" t="s">
        <v>82</v>
      </c>
      <c r="C436" s="206" t="s">
        <v>67</v>
      </c>
      <c r="D436" s="206"/>
      <c r="E436" s="187"/>
      <c r="F436" s="207" t="s">
        <v>64</v>
      </c>
      <c r="G436" s="208">
        <v>4</v>
      </c>
      <c r="H436" s="208">
        <v>1.42</v>
      </c>
      <c r="I436" s="184">
        <f t="shared" ref="I436:I441" si="8">ROUND(G436*H436,2)</f>
        <v>5.68</v>
      </c>
    </row>
    <row r="437" spans="2:9" ht="18" customHeight="1" x14ac:dyDescent="0.25">
      <c r="B437" s="185" t="s">
        <v>83</v>
      </c>
      <c r="C437" s="206" t="s">
        <v>65</v>
      </c>
      <c r="D437" s="206"/>
      <c r="E437" s="187"/>
      <c r="F437" s="207" t="s">
        <v>62</v>
      </c>
      <c r="G437" s="208">
        <v>1</v>
      </c>
      <c r="H437" s="208">
        <v>4.5</v>
      </c>
      <c r="I437" s="184">
        <f t="shared" si="8"/>
        <v>4.5</v>
      </c>
    </row>
    <row r="438" spans="2:9" ht="18" customHeight="1" x14ac:dyDescent="0.25">
      <c r="B438" s="185" t="s">
        <v>84</v>
      </c>
      <c r="C438" s="577" t="s">
        <v>66</v>
      </c>
      <c r="D438" s="577"/>
      <c r="E438" s="187"/>
      <c r="F438" s="207" t="s">
        <v>62</v>
      </c>
      <c r="G438" s="208">
        <v>0.33</v>
      </c>
      <c r="H438" s="208">
        <v>7.41</v>
      </c>
      <c r="I438" s="184">
        <f t="shared" si="8"/>
        <v>2.4500000000000002</v>
      </c>
    </row>
    <row r="439" spans="2:9" ht="18" customHeight="1" x14ac:dyDescent="0.25">
      <c r="B439" s="204" t="s">
        <v>104</v>
      </c>
      <c r="C439" s="201" t="s">
        <v>105</v>
      </c>
      <c r="D439" s="201"/>
      <c r="E439" s="140"/>
      <c r="F439" s="205" t="s">
        <v>62</v>
      </c>
      <c r="G439" s="94">
        <v>1</v>
      </c>
      <c r="H439" s="94">
        <v>1.71</v>
      </c>
      <c r="I439" s="90">
        <f t="shared" si="8"/>
        <v>1.71</v>
      </c>
    </row>
    <row r="440" spans="2:9" ht="18" customHeight="1" x14ac:dyDescent="0.25">
      <c r="B440" s="204" t="s">
        <v>100</v>
      </c>
      <c r="C440" s="505" t="s">
        <v>101</v>
      </c>
      <c r="D440" s="505"/>
      <c r="E440" s="140"/>
      <c r="F440" s="205" t="s">
        <v>64</v>
      </c>
      <c r="G440" s="94">
        <v>3</v>
      </c>
      <c r="H440" s="94">
        <v>1.98</v>
      </c>
      <c r="I440" s="90">
        <f t="shared" si="8"/>
        <v>5.94</v>
      </c>
    </row>
    <row r="441" spans="2:9" ht="18" customHeight="1" x14ac:dyDescent="0.25">
      <c r="B441" s="204" t="s">
        <v>106</v>
      </c>
      <c r="C441" s="201" t="s">
        <v>107</v>
      </c>
      <c r="D441" s="201"/>
      <c r="E441" s="140"/>
      <c r="F441" s="205" t="s">
        <v>62</v>
      </c>
      <c r="G441" s="94">
        <v>2</v>
      </c>
      <c r="H441" s="94">
        <v>1.07</v>
      </c>
      <c r="I441" s="90">
        <f t="shared" si="8"/>
        <v>2.14</v>
      </c>
    </row>
    <row r="442" spans="2:9" ht="18" customHeight="1" x14ac:dyDescent="0.25">
      <c r="B442" s="506" t="s">
        <v>60</v>
      </c>
      <c r="C442" s="507"/>
      <c r="D442" s="507"/>
      <c r="E442" s="507"/>
      <c r="F442" s="507"/>
      <c r="G442" s="507"/>
      <c r="H442" s="507"/>
      <c r="I442" s="91">
        <f>SUM(I436:I441)</f>
        <v>22.42</v>
      </c>
    </row>
    <row r="443" spans="2:9" ht="18" customHeight="1" x14ac:dyDescent="0.25">
      <c r="B443" s="508"/>
      <c r="C443" s="509"/>
      <c r="D443" s="509"/>
      <c r="E443" s="509"/>
      <c r="F443" s="509"/>
      <c r="G443" s="509"/>
      <c r="H443" s="509"/>
      <c r="I443" s="510"/>
    </row>
    <row r="444" spans="2:9" ht="18" customHeight="1" x14ac:dyDescent="0.25">
      <c r="B444" s="511" t="s">
        <v>54</v>
      </c>
      <c r="C444" s="512"/>
      <c r="D444" s="512"/>
      <c r="E444" s="512"/>
      <c r="F444" s="512"/>
      <c r="G444" s="512"/>
      <c r="H444" s="512"/>
      <c r="I444" s="92">
        <f>I434+I442</f>
        <v>56.02</v>
      </c>
    </row>
    <row r="445" spans="2:9" ht="18" customHeight="1" x14ac:dyDescent="0.25">
      <c r="B445" s="511" t="s">
        <v>55</v>
      </c>
      <c r="C445" s="512"/>
      <c r="D445" s="512"/>
      <c r="E445" s="512"/>
      <c r="F445" s="512"/>
      <c r="G445" s="512"/>
      <c r="H445" s="512"/>
      <c r="I445" s="92">
        <f>ROUND(I434*$D$14,2)</f>
        <v>30.06</v>
      </c>
    </row>
    <row r="446" spans="2:9" ht="18" customHeight="1" x14ac:dyDescent="0.25">
      <c r="B446" s="513" t="s">
        <v>56</v>
      </c>
      <c r="C446" s="514"/>
      <c r="D446" s="514"/>
      <c r="E446" s="514"/>
      <c r="F446" s="514"/>
      <c r="G446" s="514"/>
      <c r="H446" s="514"/>
      <c r="I446" s="93">
        <f>I444+I445</f>
        <v>86.08</v>
      </c>
    </row>
    <row r="447" spans="2:9" ht="18" customHeight="1" x14ac:dyDescent="0.25">
      <c r="B447" s="106"/>
      <c r="C447" s="107"/>
      <c r="D447" s="147"/>
      <c r="E447" s="147"/>
      <c r="F447" s="108"/>
      <c r="G447" s="108"/>
      <c r="H447" s="108"/>
      <c r="I447" s="109"/>
    </row>
    <row r="448" spans="2:9" ht="18" customHeight="1" x14ac:dyDescent="0.25">
      <c r="B448" s="515" t="s">
        <v>108</v>
      </c>
      <c r="C448" s="516"/>
      <c r="D448" s="516"/>
      <c r="E448" s="516"/>
      <c r="F448" s="516"/>
      <c r="G448" s="516"/>
      <c r="H448" s="516"/>
      <c r="I448" s="517"/>
    </row>
    <row r="449" spans="2:9" ht="18" customHeight="1" x14ac:dyDescent="0.25">
      <c r="B449" s="518" t="s">
        <v>57</v>
      </c>
      <c r="C449" s="519"/>
      <c r="D449" s="83">
        <f>I467</f>
        <v>171.27999999999997</v>
      </c>
      <c r="E449" s="84"/>
      <c r="F449" s="84"/>
      <c r="G449" s="85"/>
      <c r="H449" s="85"/>
      <c r="I449" s="86" t="s">
        <v>63</v>
      </c>
    </row>
    <row r="450" spans="2:9" ht="18" customHeight="1" x14ac:dyDescent="0.25">
      <c r="B450" s="520"/>
      <c r="C450" s="521"/>
      <c r="D450" s="521"/>
      <c r="E450" s="521"/>
      <c r="F450" s="521"/>
      <c r="G450" s="521"/>
      <c r="H450" s="521"/>
      <c r="I450" s="522"/>
    </row>
    <row r="451" spans="2:9" ht="18" customHeight="1" x14ac:dyDescent="0.25">
      <c r="B451" s="87" t="s">
        <v>44</v>
      </c>
      <c r="C451" s="88" t="s">
        <v>45</v>
      </c>
      <c r="D451" s="88"/>
      <c r="E451" s="88"/>
      <c r="F451" s="88" t="s">
        <v>46</v>
      </c>
      <c r="G451" s="88" t="s">
        <v>47</v>
      </c>
      <c r="H451" s="88" t="s">
        <v>48</v>
      </c>
      <c r="I451" s="89" t="s">
        <v>49</v>
      </c>
    </row>
    <row r="452" spans="2:9" ht="18" customHeight="1" x14ac:dyDescent="0.25">
      <c r="B452" s="523" t="s">
        <v>50</v>
      </c>
      <c r="C452" s="524"/>
      <c r="D452" s="524"/>
      <c r="E452" s="524"/>
      <c r="F452" s="524"/>
      <c r="G452" s="524"/>
      <c r="H452" s="524"/>
      <c r="I452" s="525"/>
    </row>
    <row r="453" spans="2:9" ht="18" customHeight="1" x14ac:dyDescent="0.25">
      <c r="B453" s="204" t="s">
        <v>81</v>
      </c>
      <c r="C453" s="201" t="s">
        <v>61</v>
      </c>
      <c r="D453" s="139"/>
      <c r="E453" s="140"/>
      <c r="F453" s="205" t="s">
        <v>51</v>
      </c>
      <c r="G453" s="94">
        <v>5</v>
      </c>
      <c r="H453" s="94">
        <f>9/1.8946</f>
        <v>4.7503430803335798</v>
      </c>
      <c r="I453" s="90">
        <f>ROUND(G453*H453,2)</f>
        <v>23.75</v>
      </c>
    </row>
    <row r="454" spans="2:9" ht="18" customHeight="1" x14ac:dyDescent="0.25">
      <c r="B454" s="204" t="s">
        <v>80</v>
      </c>
      <c r="C454" s="201" t="s">
        <v>52</v>
      </c>
      <c r="D454" s="139"/>
      <c r="E454" s="140"/>
      <c r="F454" s="205" t="s">
        <v>51</v>
      </c>
      <c r="G454" s="94">
        <v>4</v>
      </c>
      <c r="H454" s="94">
        <f>6.33/1.8946</f>
        <v>3.3410746331679508</v>
      </c>
      <c r="I454" s="90">
        <f>ROUND(G454*H454,2)</f>
        <v>13.36</v>
      </c>
    </row>
    <row r="455" spans="2:9" ht="18" customHeight="1" x14ac:dyDescent="0.25">
      <c r="B455" s="506" t="s">
        <v>53</v>
      </c>
      <c r="C455" s="507"/>
      <c r="D455" s="507"/>
      <c r="E455" s="507"/>
      <c r="F455" s="507"/>
      <c r="G455" s="507"/>
      <c r="H455" s="507"/>
      <c r="I455" s="91">
        <f>SUM(I453:I454)</f>
        <v>37.11</v>
      </c>
    </row>
    <row r="456" spans="2:9" ht="18" customHeight="1" x14ac:dyDescent="0.25">
      <c r="B456" s="523" t="s">
        <v>59</v>
      </c>
      <c r="C456" s="524"/>
      <c r="D456" s="524"/>
      <c r="E456" s="524"/>
      <c r="F456" s="524"/>
      <c r="G456" s="524"/>
      <c r="H456" s="524"/>
      <c r="I456" s="525"/>
    </row>
    <row r="457" spans="2:9" ht="18" customHeight="1" x14ac:dyDescent="0.25">
      <c r="B457" s="204" t="s">
        <v>109</v>
      </c>
      <c r="C457" s="505" t="s">
        <v>110</v>
      </c>
      <c r="D457" s="505"/>
      <c r="E457" s="505"/>
      <c r="F457" s="205" t="s">
        <v>62</v>
      </c>
      <c r="G457" s="94">
        <v>1</v>
      </c>
      <c r="H457" s="94">
        <v>44.64</v>
      </c>
      <c r="I457" s="90">
        <f t="shared" ref="I457:I462" si="9">ROUND(G457*H457,2)</f>
        <v>44.64</v>
      </c>
    </row>
    <row r="458" spans="2:9" ht="18" customHeight="1" x14ac:dyDescent="0.25">
      <c r="B458" s="204" t="s">
        <v>104</v>
      </c>
      <c r="C458" s="201" t="s">
        <v>105</v>
      </c>
      <c r="D458" s="201"/>
      <c r="E458" s="140"/>
      <c r="F458" s="205" t="s">
        <v>62</v>
      </c>
      <c r="G458" s="94">
        <v>1</v>
      </c>
      <c r="H458" s="94">
        <v>1.71</v>
      </c>
      <c r="I458" s="90">
        <f t="shared" si="9"/>
        <v>1.71</v>
      </c>
    </row>
    <row r="459" spans="2:9" ht="18" customHeight="1" x14ac:dyDescent="0.25">
      <c r="B459" s="204" t="s">
        <v>100</v>
      </c>
      <c r="C459" s="505" t="s">
        <v>101</v>
      </c>
      <c r="D459" s="505"/>
      <c r="E459" s="140"/>
      <c r="F459" s="205" t="s">
        <v>64</v>
      </c>
      <c r="G459" s="94">
        <v>9</v>
      </c>
      <c r="H459" s="94">
        <v>1.98</v>
      </c>
      <c r="I459" s="90">
        <f t="shared" si="9"/>
        <v>17.82</v>
      </c>
    </row>
    <row r="460" spans="2:9" ht="18" customHeight="1" x14ac:dyDescent="0.25">
      <c r="B460" s="204" t="s">
        <v>111</v>
      </c>
      <c r="C460" s="201" t="s">
        <v>112</v>
      </c>
      <c r="D460" s="201"/>
      <c r="E460" s="209"/>
      <c r="F460" s="205" t="s">
        <v>62</v>
      </c>
      <c r="G460" s="94">
        <v>0.15</v>
      </c>
      <c r="H460" s="94">
        <v>5.53</v>
      </c>
      <c r="I460" s="90">
        <f t="shared" si="9"/>
        <v>0.83</v>
      </c>
    </row>
    <row r="461" spans="2:9" ht="18" customHeight="1" x14ac:dyDescent="0.25">
      <c r="B461" s="204" t="s">
        <v>106</v>
      </c>
      <c r="C461" s="201" t="s">
        <v>107</v>
      </c>
      <c r="D461" s="201"/>
      <c r="E461" s="140"/>
      <c r="F461" s="205" t="s">
        <v>62</v>
      </c>
      <c r="G461" s="94">
        <v>2</v>
      </c>
      <c r="H461" s="94">
        <v>1.07</v>
      </c>
      <c r="I461" s="90">
        <f t="shared" si="9"/>
        <v>2.14</v>
      </c>
    </row>
    <row r="462" spans="2:9" ht="18" customHeight="1" x14ac:dyDescent="0.25">
      <c r="B462" s="204" t="s">
        <v>113</v>
      </c>
      <c r="C462" s="505" t="s">
        <v>114</v>
      </c>
      <c r="D462" s="505"/>
      <c r="E462" s="505"/>
      <c r="F462" s="205" t="s">
        <v>64</v>
      </c>
      <c r="G462" s="94">
        <v>17</v>
      </c>
      <c r="H462" s="94">
        <v>1.99</v>
      </c>
      <c r="I462" s="90">
        <f t="shared" si="9"/>
        <v>33.83</v>
      </c>
    </row>
    <row r="463" spans="2:9" ht="18" customHeight="1" x14ac:dyDescent="0.25">
      <c r="B463" s="506" t="s">
        <v>60</v>
      </c>
      <c r="C463" s="507"/>
      <c r="D463" s="507"/>
      <c r="E463" s="507"/>
      <c r="F463" s="507"/>
      <c r="G463" s="507"/>
      <c r="H463" s="507"/>
      <c r="I463" s="91">
        <f>SUM(I457:I462)</f>
        <v>100.97</v>
      </c>
    </row>
    <row r="464" spans="2:9" ht="18" customHeight="1" x14ac:dyDescent="0.25">
      <c r="B464" s="508"/>
      <c r="C464" s="509"/>
      <c r="D464" s="509"/>
      <c r="E464" s="509"/>
      <c r="F464" s="509"/>
      <c r="G464" s="509"/>
      <c r="H464" s="509"/>
      <c r="I464" s="510"/>
    </row>
    <row r="465" spans="2:9" ht="18" customHeight="1" x14ac:dyDescent="0.25">
      <c r="B465" s="511" t="s">
        <v>54</v>
      </c>
      <c r="C465" s="512"/>
      <c r="D465" s="512"/>
      <c r="E465" s="512"/>
      <c r="F465" s="512"/>
      <c r="G465" s="512"/>
      <c r="H465" s="512"/>
      <c r="I465" s="92">
        <f>I455+I463</f>
        <v>138.07999999999998</v>
      </c>
    </row>
    <row r="466" spans="2:9" ht="18" customHeight="1" x14ac:dyDescent="0.25">
      <c r="B466" s="511" t="s">
        <v>55</v>
      </c>
      <c r="C466" s="512"/>
      <c r="D466" s="512"/>
      <c r="E466" s="512"/>
      <c r="F466" s="512"/>
      <c r="G466" s="512"/>
      <c r="H466" s="512"/>
      <c r="I466" s="92">
        <f>ROUND(I455*$D$14,2)</f>
        <v>33.200000000000003</v>
      </c>
    </row>
    <row r="467" spans="2:9" ht="18" customHeight="1" x14ac:dyDescent="0.25">
      <c r="B467" s="513" t="s">
        <v>56</v>
      </c>
      <c r="C467" s="514"/>
      <c r="D467" s="514"/>
      <c r="E467" s="514"/>
      <c r="F467" s="514"/>
      <c r="G467" s="514"/>
      <c r="H467" s="514"/>
      <c r="I467" s="93">
        <f>I465+I466</f>
        <v>171.27999999999997</v>
      </c>
    </row>
    <row r="468" spans="2:9" ht="18" customHeight="1" x14ac:dyDescent="0.25">
      <c r="B468" s="210"/>
      <c r="C468" s="211"/>
      <c r="D468" s="212"/>
      <c r="E468" s="212"/>
      <c r="F468" s="213"/>
      <c r="G468" s="213"/>
      <c r="H468" s="213"/>
      <c r="I468" s="214"/>
    </row>
    <row r="469" spans="2:9" ht="18" customHeight="1" x14ac:dyDescent="0.25">
      <c r="B469" s="515" t="s">
        <v>115</v>
      </c>
      <c r="C469" s="516"/>
      <c r="D469" s="516"/>
      <c r="E469" s="516"/>
      <c r="F469" s="516"/>
      <c r="G469" s="516"/>
      <c r="H469" s="516"/>
      <c r="I469" s="517"/>
    </row>
    <row r="470" spans="2:9" ht="18" customHeight="1" x14ac:dyDescent="0.25">
      <c r="B470" s="518" t="s">
        <v>57</v>
      </c>
      <c r="C470" s="519"/>
      <c r="D470" s="83">
        <f>I490</f>
        <v>98.73</v>
      </c>
      <c r="E470" s="84"/>
      <c r="F470" s="84"/>
      <c r="G470" s="85"/>
      <c r="H470" s="85"/>
      <c r="I470" s="86" t="s">
        <v>63</v>
      </c>
    </row>
    <row r="471" spans="2:9" ht="18" customHeight="1" x14ac:dyDescent="0.25">
      <c r="B471" s="520"/>
      <c r="C471" s="521"/>
      <c r="D471" s="521"/>
      <c r="E471" s="521"/>
      <c r="F471" s="521"/>
      <c r="G471" s="521"/>
      <c r="H471" s="521"/>
      <c r="I471" s="522"/>
    </row>
    <row r="472" spans="2:9" ht="18" customHeight="1" x14ac:dyDescent="0.25">
      <c r="B472" s="87" t="s">
        <v>44</v>
      </c>
      <c r="C472" s="88" t="s">
        <v>45</v>
      </c>
      <c r="D472" s="88"/>
      <c r="E472" s="88"/>
      <c r="F472" s="88" t="s">
        <v>46</v>
      </c>
      <c r="G472" s="88" t="s">
        <v>47</v>
      </c>
      <c r="H472" s="88" t="s">
        <v>48</v>
      </c>
      <c r="I472" s="89" t="s">
        <v>49</v>
      </c>
    </row>
    <row r="473" spans="2:9" ht="18" customHeight="1" x14ac:dyDescent="0.25">
      <c r="B473" s="523" t="s">
        <v>50</v>
      </c>
      <c r="C473" s="524"/>
      <c r="D473" s="524"/>
      <c r="E473" s="524"/>
      <c r="F473" s="524"/>
      <c r="G473" s="524"/>
      <c r="H473" s="524"/>
      <c r="I473" s="525"/>
    </row>
    <row r="474" spans="2:9" ht="18" customHeight="1" x14ac:dyDescent="0.25">
      <c r="B474" s="204" t="s">
        <v>102</v>
      </c>
      <c r="C474" s="201" t="s">
        <v>103</v>
      </c>
      <c r="D474" s="139"/>
      <c r="E474" s="140"/>
      <c r="F474" s="205" t="s">
        <v>51</v>
      </c>
      <c r="G474" s="94">
        <v>3</v>
      </c>
      <c r="H474" s="94">
        <f>6.95/1.8946</f>
        <v>3.6683204898131532</v>
      </c>
      <c r="I474" s="90">
        <f>ROUND(G474*H474,2)</f>
        <v>11</v>
      </c>
    </row>
    <row r="475" spans="2:9" ht="18" customHeight="1" x14ac:dyDescent="0.25">
      <c r="B475" s="204" t="s">
        <v>81</v>
      </c>
      <c r="C475" s="201" t="s">
        <v>61</v>
      </c>
      <c r="D475" s="139"/>
      <c r="E475" s="140"/>
      <c r="F475" s="205" t="s">
        <v>51</v>
      </c>
      <c r="G475" s="94">
        <v>3</v>
      </c>
      <c r="H475" s="94">
        <f>9/1.8946</f>
        <v>4.7503430803335798</v>
      </c>
      <c r="I475" s="90">
        <f>ROUND(G475*H475,2)</f>
        <v>14.25</v>
      </c>
    </row>
    <row r="476" spans="2:9" ht="18" customHeight="1" x14ac:dyDescent="0.25">
      <c r="B476" s="204" t="s">
        <v>80</v>
      </c>
      <c r="C476" s="201" t="s">
        <v>52</v>
      </c>
      <c r="D476" s="139"/>
      <c r="E476" s="140"/>
      <c r="F476" s="205" t="s">
        <v>51</v>
      </c>
      <c r="G476" s="94">
        <v>2.5</v>
      </c>
      <c r="H476" s="94">
        <f>6.33/1.8946</f>
        <v>3.3410746331679508</v>
      </c>
      <c r="I476" s="90">
        <f>ROUND(G476*H476,2)</f>
        <v>8.35</v>
      </c>
    </row>
    <row r="477" spans="2:9" ht="18" customHeight="1" x14ac:dyDescent="0.25">
      <c r="B477" s="506" t="s">
        <v>53</v>
      </c>
      <c r="C477" s="507"/>
      <c r="D477" s="507"/>
      <c r="E477" s="507"/>
      <c r="F477" s="507"/>
      <c r="G477" s="507"/>
      <c r="H477" s="507"/>
      <c r="I477" s="91">
        <f>SUM(I474:I476)</f>
        <v>33.6</v>
      </c>
    </row>
    <row r="478" spans="2:9" ht="18" customHeight="1" x14ac:dyDescent="0.25">
      <c r="B478" s="523" t="s">
        <v>59</v>
      </c>
      <c r="C478" s="524"/>
      <c r="D478" s="524"/>
      <c r="E478" s="524"/>
      <c r="F478" s="524"/>
      <c r="G478" s="524"/>
      <c r="H478" s="524"/>
      <c r="I478" s="525"/>
    </row>
    <row r="479" spans="2:9" ht="25.5" customHeight="1" x14ac:dyDescent="0.25">
      <c r="B479" s="204" t="s">
        <v>116</v>
      </c>
      <c r="C479" s="505" t="s">
        <v>117</v>
      </c>
      <c r="D479" s="505"/>
      <c r="E479" s="505"/>
      <c r="F479" s="205" t="s">
        <v>64</v>
      </c>
      <c r="G479" s="94">
        <v>12</v>
      </c>
      <c r="H479" s="94">
        <v>1.38</v>
      </c>
      <c r="I479" s="90">
        <f t="shared" ref="I479:I485" si="10">ROUND(G479*H479,2)</f>
        <v>16.559999999999999</v>
      </c>
    </row>
    <row r="480" spans="2:9" ht="27.75" customHeight="1" x14ac:dyDescent="0.25">
      <c r="B480" s="204" t="s">
        <v>104</v>
      </c>
      <c r="C480" s="201" t="s">
        <v>105</v>
      </c>
      <c r="D480" s="201"/>
      <c r="E480" s="140"/>
      <c r="F480" s="205" t="s">
        <v>62</v>
      </c>
      <c r="G480" s="94">
        <v>1</v>
      </c>
      <c r="H480" s="94">
        <v>1.71</v>
      </c>
      <c r="I480" s="90">
        <f t="shared" si="10"/>
        <v>1.71</v>
      </c>
    </row>
    <row r="481" spans="2:9" ht="18" customHeight="1" x14ac:dyDescent="0.25">
      <c r="B481" s="204" t="s">
        <v>100</v>
      </c>
      <c r="C481" s="505" t="s">
        <v>101</v>
      </c>
      <c r="D481" s="505"/>
      <c r="E481" s="140"/>
      <c r="F481" s="205" t="s">
        <v>64</v>
      </c>
      <c r="G481" s="94">
        <v>3</v>
      </c>
      <c r="H481" s="94">
        <v>1.98</v>
      </c>
      <c r="I481" s="90">
        <f t="shared" si="10"/>
        <v>5.94</v>
      </c>
    </row>
    <row r="482" spans="2:9" ht="18" customHeight="1" x14ac:dyDescent="0.25">
      <c r="B482" s="204" t="s">
        <v>111</v>
      </c>
      <c r="C482" s="505" t="s">
        <v>112</v>
      </c>
      <c r="D482" s="505"/>
      <c r="E482" s="505"/>
      <c r="F482" s="205" t="s">
        <v>62</v>
      </c>
      <c r="G482" s="94">
        <v>0.15</v>
      </c>
      <c r="H482" s="94">
        <v>5.53</v>
      </c>
      <c r="I482" s="90">
        <f t="shared" si="10"/>
        <v>0.83</v>
      </c>
    </row>
    <row r="483" spans="2:9" ht="18" customHeight="1" x14ac:dyDescent="0.25">
      <c r="B483" s="204" t="s">
        <v>106</v>
      </c>
      <c r="C483" s="201" t="s">
        <v>107</v>
      </c>
      <c r="D483" s="201"/>
      <c r="E483" s="140"/>
      <c r="F483" s="205" t="s">
        <v>62</v>
      </c>
      <c r="G483" s="94">
        <v>2</v>
      </c>
      <c r="H483" s="94">
        <v>1.07</v>
      </c>
      <c r="I483" s="90">
        <f t="shared" si="10"/>
        <v>2.14</v>
      </c>
    </row>
    <row r="484" spans="2:9" ht="18" customHeight="1" x14ac:dyDescent="0.25">
      <c r="B484" s="204" t="s">
        <v>98</v>
      </c>
      <c r="C484" s="201" t="s">
        <v>99</v>
      </c>
      <c r="D484" s="201"/>
      <c r="E484" s="140"/>
      <c r="F484" s="205" t="s">
        <v>62</v>
      </c>
      <c r="G484" s="94">
        <v>1</v>
      </c>
      <c r="H484" s="94">
        <v>1.39</v>
      </c>
      <c r="I484" s="90">
        <f t="shared" si="10"/>
        <v>1.39</v>
      </c>
    </row>
    <row r="485" spans="2:9" ht="18" customHeight="1" x14ac:dyDescent="0.25">
      <c r="B485" s="204" t="s">
        <v>118</v>
      </c>
      <c r="C485" s="505" t="s">
        <v>119</v>
      </c>
      <c r="D485" s="505"/>
      <c r="E485" s="505"/>
      <c r="F485" s="205" t="s">
        <v>62</v>
      </c>
      <c r="G485" s="94">
        <v>1</v>
      </c>
      <c r="H485" s="94">
        <v>6.5</v>
      </c>
      <c r="I485" s="90">
        <f t="shared" si="10"/>
        <v>6.5</v>
      </c>
    </row>
    <row r="486" spans="2:9" ht="18" customHeight="1" x14ac:dyDescent="0.25">
      <c r="B486" s="506" t="s">
        <v>60</v>
      </c>
      <c r="C486" s="507"/>
      <c r="D486" s="507"/>
      <c r="E486" s="507"/>
      <c r="F486" s="507"/>
      <c r="G486" s="507"/>
      <c r="H486" s="507"/>
      <c r="I486" s="91">
        <f>SUM(I479:I485)</f>
        <v>35.07</v>
      </c>
    </row>
    <row r="487" spans="2:9" ht="18" customHeight="1" x14ac:dyDescent="0.25">
      <c r="B487" s="508"/>
      <c r="C487" s="509"/>
      <c r="D487" s="509"/>
      <c r="E487" s="509"/>
      <c r="F487" s="509"/>
      <c r="G487" s="509"/>
      <c r="H487" s="509"/>
      <c r="I487" s="510"/>
    </row>
    <row r="488" spans="2:9" ht="18" customHeight="1" x14ac:dyDescent="0.25">
      <c r="B488" s="511" t="s">
        <v>54</v>
      </c>
      <c r="C488" s="512"/>
      <c r="D488" s="512"/>
      <c r="E488" s="512"/>
      <c r="F488" s="512"/>
      <c r="G488" s="512"/>
      <c r="H488" s="512"/>
      <c r="I488" s="92">
        <f>I477+I486</f>
        <v>68.67</v>
      </c>
    </row>
    <row r="489" spans="2:9" ht="18" customHeight="1" x14ac:dyDescent="0.25">
      <c r="B489" s="511" t="s">
        <v>55</v>
      </c>
      <c r="C489" s="512"/>
      <c r="D489" s="512"/>
      <c r="E489" s="512"/>
      <c r="F489" s="512"/>
      <c r="G489" s="512"/>
      <c r="H489" s="512"/>
      <c r="I489" s="92">
        <f>ROUND(I477*$D$14,2)</f>
        <v>30.06</v>
      </c>
    </row>
    <row r="490" spans="2:9" ht="18" customHeight="1" x14ac:dyDescent="0.25">
      <c r="B490" s="513" t="s">
        <v>56</v>
      </c>
      <c r="C490" s="514"/>
      <c r="D490" s="514"/>
      <c r="E490" s="514"/>
      <c r="F490" s="514"/>
      <c r="G490" s="514"/>
      <c r="H490" s="514"/>
      <c r="I490" s="93">
        <f>I488+I489</f>
        <v>98.73</v>
      </c>
    </row>
    <row r="491" spans="2:9" ht="18" customHeight="1" x14ac:dyDescent="0.25">
      <c r="B491" s="578"/>
      <c r="C491" s="579"/>
      <c r="D491" s="579"/>
      <c r="E491" s="579"/>
      <c r="F491" s="579"/>
      <c r="G491" s="579"/>
      <c r="H491" s="579"/>
      <c r="I491" s="148"/>
    </row>
    <row r="492" spans="2:9" ht="18" customHeight="1" x14ac:dyDescent="0.25">
      <c r="B492" s="515" t="s">
        <v>120</v>
      </c>
      <c r="C492" s="516"/>
      <c r="D492" s="516"/>
      <c r="E492" s="516"/>
      <c r="F492" s="516"/>
      <c r="G492" s="516"/>
      <c r="H492" s="516"/>
      <c r="I492" s="517"/>
    </row>
    <row r="493" spans="2:9" ht="18" customHeight="1" x14ac:dyDescent="0.25">
      <c r="B493" s="518" t="s">
        <v>57</v>
      </c>
      <c r="C493" s="519"/>
      <c r="D493" s="83">
        <f>I513</f>
        <v>109.5</v>
      </c>
      <c r="E493" s="84"/>
      <c r="F493" s="84"/>
      <c r="G493" s="85"/>
      <c r="H493" s="85"/>
      <c r="I493" s="86" t="s">
        <v>63</v>
      </c>
    </row>
    <row r="494" spans="2:9" ht="18" customHeight="1" x14ac:dyDescent="0.25">
      <c r="B494" s="520"/>
      <c r="C494" s="521"/>
      <c r="D494" s="521"/>
      <c r="E494" s="521"/>
      <c r="F494" s="521"/>
      <c r="G494" s="521"/>
      <c r="H494" s="521"/>
      <c r="I494" s="522"/>
    </row>
    <row r="495" spans="2:9" ht="18" customHeight="1" x14ac:dyDescent="0.25">
      <c r="B495" s="87" t="s">
        <v>44</v>
      </c>
      <c r="C495" s="88" t="s">
        <v>45</v>
      </c>
      <c r="D495" s="88"/>
      <c r="E495" s="88"/>
      <c r="F495" s="88" t="s">
        <v>46</v>
      </c>
      <c r="G495" s="88" t="s">
        <v>47</v>
      </c>
      <c r="H495" s="88" t="s">
        <v>48</v>
      </c>
      <c r="I495" s="89" t="s">
        <v>49</v>
      </c>
    </row>
    <row r="496" spans="2:9" ht="18" customHeight="1" x14ac:dyDescent="0.25">
      <c r="B496" s="523" t="s">
        <v>50</v>
      </c>
      <c r="C496" s="524"/>
      <c r="D496" s="524"/>
      <c r="E496" s="524"/>
      <c r="F496" s="524"/>
      <c r="G496" s="524"/>
      <c r="H496" s="524"/>
      <c r="I496" s="525"/>
    </row>
    <row r="497" spans="2:9" ht="18" customHeight="1" x14ac:dyDescent="0.25">
      <c r="B497" s="204" t="s">
        <v>102</v>
      </c>
      <c r="C497" s="201" t="s">
        <v>103</v>
      </c>
      <c r="D497" s="139"/>
      <c r="E497" s="140"/>
      <c r="F497" s="205" t="s">
        <v>51</v>
      </c>
      <c r="G497" s="94">
        <v>3</v>
      </c>
      <c r="H497" s="94">
        <f>6.95/1.8946</f>
        <v>3.6683204898131532</v>
      </c>
      <c r="I497" s="90">
        <f>ROUND(G497*H497,2)</f>
        <v>11</v>
      </c>
    </row>
    <row r="498" spans="2:9" ht="18" customHeight="1" x14ac:dyDescent="0.25">
      <c r="B498" s="204" t="s">
        <v>81</v>
      </c>
      <c r="C498" s="201" t="s">
        <v>61</v>
      </c>
      <c r="D498" s="139"/>
      <c r="E498" s="140"/>
      <c r="F498" s="205" t="s">
        <v>51</v>
      </c>
      <c r="G498" s="94">
        <v>3</v>
      </c>
      <c r="H498" s="94">
        <f>9/1.8946</f>
        <v>4.7503430803335798</v>
      </c>
      <c r="I498" s="90">
        <f>ROUND(G498*H498,2)</f>
        <v>14.25</v>
      </c>
    </row>
    <row r="499" spans="2:9" ht="18" customHeight="1" x14ac:dyDescent="0.25">
      <c r="B499" s="204" t="s">
        <v>80</v>
      </c>
      <c r="C499" s="201" t="s">
        <v>52</v>
      </c>
      <c r="D499" s="139"/>
      <c r="E499" s="140"/>
      <c r="F499" s="205" t="s">
        <v>51</v>
      </c>
      <c r="G499" s="94">
        <v>2.5</v>
      </c>
      <c r="H499" s="94">
        <f>6.33/1.8946</f>
        <v>3.3410746331679508</v>
      </c>
      <c r="I499" s="90">
        <f>ROUND(G499*H499,2)</f>
        <v>8.35</v>
      </c>
    </row>
    <row r="500" spans="2:9" ht="18" customHeight="1" x14ac:dyDescent="0.25">
      <c r="B500" s="506" t="s">
        <v>53</v>
      </c>
      <c r="C500" s="507"/>
      <c r="D500" s="507"/>
      <c r="E500" s="507"/>
      <c r="F500" s="507"/>
      <c r="G500" s="507"/>
      <c r="H500" s="507"/>
      <c r="I500" s="91">
        <f>SUM(I497:I499)</f>
        <v>33.6</v>
      </c>
    </row>
    <row r="501" spans="2:9" ht="18" customHeight="1" x14ac:dyDescent="0.25">
      <c r="B501" s="523" t="s">
        <v>59</v>
      </c>
      <c r="C501" s="524"/>
      <c r="D501" s="524"/>
      <c r="E501" s="524"/>
      <c r="F501" s="524"/>
      <c r="G501" s="524"/>
      <c r="H501" s="524"/>
      <c r="I501" s="525"/>
    </row>
    <row r="502" spans="2:9" ht="18" customHeight="1" x14ac:dyDescent="0.25">
      <c r="B502" s="204" t="s">
        <v>121</v>
      </c>
      <c r="C502" s="505" t="s">
        <v>122</v>
      </c>
      <c r="D502" s="505"/>
      <c r="E502" s="505"/>
      <c r="F502" s="205" t="s">
        <v>64</v>
      </c>
      <c r="G502" s="94">
        <v>12</v>
      </c>
      <c r="H502" s="94">
        <v>1.99</v>
      </c>
      <c r="I502" s="90">
        <f t="shared" ref="I502:I508" si="11">ROUND(G502*H502,2)</f>
        <v>23.88</v>
      </c>
    </row>
    <row r="503" spans="2:9" ht="18" customHeight="1" x14ac:dyDescent="0.25">
      <c r="B503" s="204" t="s">
        <v>104</v>
      </c>
      <c r="C503" s="201" t="s">
        <v>105</v>
      </c>
      <c r="D503" s="201"/>
      <c r="E503" s="140"/>
      <c r="F503" s="205" t="s">
        <v>62</v>
      </c>
      <c r="G503" s="94">
        <v>1</v>
      </c>
      <c r="H503" s="94">
        <v>1.71</v>
      </c>
      <c r="I503" s="90">
        <f t="shared" si="11"/>
        <v>1.71</v>
      </c>
    </row>
    <row r="504" spans="2:9" ht="18" customHeight="1" x14ac:dyDescent="0.25">
      <c r="B504" s="204" t="s">
        <v>100</v>
      </c>
      <c r="C504" s="505" t="s">
        <v>101</v>
      </c>
      <c r="D504" s="505"/>
      <c r="E504" s="140"/>
      <c r="F504" s="205" t="s">
        <v>64</v>
      </c>
      <c r="G504" s="94">
        <v>3</v>
      </c>
      <c r="H504" s="94">
        <v>1.98</v>
      </c>
      <c r="I504" s="90">
        <f t="shared" si="11"/>
        <v>5.94</v>
      </c>
    </row>
    <row r="505" spans="2:9" ht="18" customHeight="1" x14ac:dyDescent="0.25">
      <c r="B505" s="204" t="s">
        <v>111</v>
      </c>
      <c r="C505" s="505" t="s">
        <v>112</v>
      </c>
      <c r="D505" s="505"/>
      <c r="E505" s="505"/>
      <c r="F505" s="205" t="s">
        <v>62</v>
      </c>
      <c r="G505" s="94">
        <v>0.15</v>
      </c>
      <c r="H505" s="94">
        <v>5.53</v>
      </c>
      <c r="I505" s="90">
        <f t="shared" si="11"/>
        <v>0.83</v>
      </c>
    </row>
    <row r="506" spans="2:9" ht="18" customHeight="1" x14ac:dyDescent="0.25">
      <c r="B506" s="204" t="s">
        <v>106</v>
      </c>
      <c r="C506" s="201" t="s">
        <v>107</v>
      </c>
      <c r="D506" s="201"/>
      <c r="E506" s="140"/>
      <c r="F506" s="205" t="s">
        <v>62</v>
      </c>
      <c r="G506" s="94">
        <v>2</v>
      </c>
      <c r="H506" s="94">
        <v>1.07</v>
      </c>
      <c r="I506" s="90">
        <f t="shared" si="11"/>
        <v>2.14</v>
      </c>
    </row>
    <row r="507" spans="2:9" ht="18" customHeight="1" x14ac:dyDescent="0.25">
      <c r="B507" s="204" t="s">
        <v>98</v>
      </c>
      <c r="C507" s="201" t="s">
        <v>99</v>
      </c>
      <c r="D507" s="201"/>
      <c r="E507" s="140"/>
      <c r="F507" s="205" t="s">
        <v>62</v>
      </c>
      <c r="G507" s="94">
        <v>1</v>
      </c>
      <c r="H507" s="94">
        <v>1.39</v>
      </c>
      <c r="I507" s="90">
        <f t="shared" si="11"/>
        <v>1.39</v>
      </c>
    </row>
    <row r="508" spans="2:9" ht="18" customHeight="1" x14ac:dyDescent="0.25">
      <c r="B508" s="204" t="s">
        <v>123</v>
      </c>
      <c r="C508" s="505" t="s">
        <v>124</v>
      </c>
      <c r="D508" s="505"/>
      <c r="E508" s="505"/>
      <c r="F508" s="205" t="s">
        <v>62</v>
      </c>
      <c r="G508" s="94">
        <v>1</v>
      </c>
      <c r="H508" s="94">
        <v>9.9499999999999993</v>
      </c>
      <c r="I508" s="90">
        <f t="shared" si="11"/>
        <v>9.9499999999999993</v>
      </c>
    </row>
    <row r="509" spans="2:9" ht="18" customHeight="1" x14ac:dyDescent="0.25">
      <c r="B509" s="506" t="s">
        <v>60</v>
      </c>
      <c r="C509" s="507"/>
      <c r="D509" s="507"/>
      <c r="E509" s="507"/>
      <c r="F509" s="507"/>
      <c r="G509" s="507"/>
      <c r="H509" s="507"/>
      <c r="I509" s="91">
        <f>SUM(I502:I508)</f>
        <v>45.84</v>
      </c>
    </row>
    <row r="510" spans="2:9" ht="18" customHeight="1" x14ac:dyDescent="0.25">
      <c r="B510" s="508"/>
      <c r="C510" s="509"/>
      <c r="D510" s="509"/>
      <c r="E510" s="509"/>
      <c r="F510" s="509"/>
      <c r="G510" s="509"/>
      <c r="H510" s="509"/>
      <c r="I510" s="510"/>
    </row>
    <row r="511" spans="2:9" ht="18" customHeight="1" x14ac:dyDescent="0.25">
      <c r="B511" s="511" t="s">
        <v>54</v>
      </c>
      <c r="C511" s="512"/>
      <c r="D511" s="512"/>
      <c r="E511" s="512"/>
      <c r="F511" s="512"/>
      <c r="G511" s="512"/>
      <c r="H511" s="512"/>
      <c r="I511" s="92">
        <f>I500+I509</f>
        <v>79.44</v>
      </c>
    </row>
    <row r="512" spans="2:9" ht="18" customHeight="1" x14ac:dyDescent="0.25">
      <c r="B512" s="511" t="s">
        <v>55</v>
      </c>
      <c r="C512" s="512"/>
      <c r="D512" s="512"/>
      <c r="E512" s="512"/>
      <c r="F512" s="512"/>
      <c r="G512" s="512"/>
      <c r="H512" s="512"/>
      <c r="I512" s="92">
        <f>ROUND(I500*$D$14,2)</f>
        <v>30.06</v>
      </c>
    </row>
    <row r="513" spans="2:9" ht="18" customHeight="1" x14ac:dyDescent="0.25">
      <c r="B513" s="513" t="s">
        <v>56</v>
      </c>
      <c r="C513" s="514"/>
      <c r="D513" s="514"/>
      <c r="E513" s="514"/>
      <c r="F513" s="514"/>
      <c r="G513" s="514"/>
      <c r="H513" s="514"/>
      <c r="I513" s="93">
        <f>I511+I512</f>
        <v>109.5</v>
      </c>
    </row>
    <row r="514" spans="2:9" ht="18" customHeight="1" x14ac:dyDescent="0.25">
      <c r="B514" s="106"/>
      <c r="C514" s="107"/>
      <c r="D514" s="147"/>
      <c r="E514" s="147"/>
      <c r="F514" s="108"/>
      <c r="G514" s="108"/>
      <c r="H514" s="108"/>
      <c r="I514" s="109"/>
    </row>
    <row r="515" spans="2:9" ht="18" customHeight="1" x14ac:dyDescent="0.25">
      <c r="B515" s="515" t="s">
        <v>76</v>
      </c>
      <c r="C515" s="516"/>
      <c r="D515" s="516"/>
      <c r="E515" s="516"/>
      <c r="F515" s="516"/>
      <c r="G515" s="516"/>
      <c r="H515" s="516"/>
      <c r="I515" s="517"/>
    </row>
    <row r="516" spans="2:9" ht="18" customHeight="1" x14ac:dyDescent="0.25">
      <c r="B516" s="518" t="s">
        <v>57</v>
      </c>
      <c r="C516" s="519"/>
      <c r="D516" s="83">
        <f>I536</f>
        <v>100.42000000000002</v>
      </c>
      <c r="E516" s="84"/>
      <c r="F516" s="84"/>
      <c r="G516" s="85"/>
      <c r="H516" s="85"/>
      <c r="I516" s="86" t="s">
        <v>63</v>
      </c>
    </row>
    <row r="517" spans="2:9" ht="18" customHeight="1" x14ac:dyDescent="0.25">
      <c r="B517" s="520"/>
      <c r="C517" s="521"/>
      <c r="D517" s="521"/>
      <c r="E517" s="521"/>
      <c r="F517" s="521"/>
      <c r="G517" s="521"/>
      <c r="H517" s="521"/>
      <c r="I517" s="522"/>
    </row>
    <row r="518" spans="2:9" ht="18" customHeight="1" x14ac:dyDescent="0.25">
      <c r="B518" s="87" t="s">
        <v>44</v>
      </c>
      <c r="C518" s="88" t="s">
        <v>45</v>
      </c>
      <c r="D518" s="88"/>
      <c r="E518" s="88"/>
      <c r="F518" s="88" t="s">
        <v>46</v>
      </c>
      <c r="G518" s="88" t="s">
        <v>47</v>
      </c>
      <c r="H518" s="88" t="s">
        <v>48</v>
      </c>
      <c r="I518" s="89" t="s">
        <v>49</v>
      </c>
    </row>
    <row r="519" spans="2:9" ht="18" customHeight="1" x14ac:dyDescent="0.25">
      <c r="B519" s="523" t="s">
        <v>50</v>
      </c>
      <c r="C519" s="524"/>
      <c r="D519" s="524"/>
      <c r="E519" s="524"/>
      <c r="F519" s="524"/>
      <c r="G519" s="524"/>
      <c r="H519" s="524"/>
      <c r="I519" s="525"/>
    </row>
    <row r="520" spans="2:9" ht="18" customHeight="1" x14ac:dyDescent="0.25">
      <c r="B520" s="204" t="s">
        <v>102</v>
      </c>
      <c r="C520" s="201" t="s">
        <v>103</v>
      </c>
      <c r="D520" s="139"/>
      <c r="E520" s="140"/>
      <c r="F520" s="205" t="s">
        <v>51</v>
      </c>
      <c r="G520" s="94">
        <v>3</v>
      </c>
      <c r="H520" s="94">
        <f>6.95/1.8946</f>
        <v>3.6683204898131532</v>
      </c>
      <c r="I520" s="90">
        <f>ROUND(G520*H520,2)</f>
        <v>11</v>
      </c>
    </row>
    <row r="521" spans="2:9" ht="18" customHeight="1" x14ac:dyDescent="0.25">
      <c r="B521" s="204" t="s">
        <v>81</v>
      </c>
      <c r="C521" s="201" t="s">
        <v>61</v>
      </c>
      <c r="D521" s="139"/>
      <c r="E521" s="140"/>
      <c r="F521" s="205" t="s">
        <v>51</v>
      </c>
      <c r="G521" s="94">
        <v>3</v>
      </c>
      <c r="H521" s="94">
        <f>9/1.8946</f>
        <v>4.7503430803335798</v>
      </c>
      <c r="I521" s="90">
        <f>ROUND(G521*H521,2)</f>
        <v>14.25</v>
      </c>
    </row>
    <row r="522" spans="2:9" ht="18" customHeight="1" x14ac:dyDescent="0.25">
      <c r="B522" s="204" t="s">
        <v>80</v>
      </c>
      <c r="C522" s="201" t="s">
        <v>52</v>
      </c>
      <c r="D522" s="139"/>
      <c r="E522" s="140"/>
      <c r="F522" s="205" t="s">
        <v>51</v>
      </c>
      <c r="G522" s="94">
        <v>2.5</v>
      </c>
      <c r="H522" s="94">
        <f>6.33/1.8946</f>
        <v>3.3410746331679508</v>
      </c>
      <c r="I522" s="90">
        <f>ROUND(G522*H522,2)</f>
        <v>8.35</v>
      </c>
    </row>
    <row r="523" spans="2:9" ht="18" customHeight="1" x14ac:dyDescent="0.25">
      <c r="B523" s="506" t="s">
        <v>53</v>
      </c>
      <c r="C523" s="507"/>
      <c r="D523" s="507"/>
      <c r="E523" s="507"/>
      <c r="F523" s="507"/>
      <c r="G523" s="507"/>
      <c r="H523" s="507"/>
      <c r="I523" s="91">
        <f>SUM(I520:I522)</f>
        <v>33.6</v>
      </c>
    </row>
    <row r="524" spans="2:9" ht="18" customHeight="1" x14ac:dyDescent="0.25">
      <c r="B524" s="523" t="s">
        <v>59</v>
      </c>
      <c r="C524" s="524"/>
      <c r="D524" s="524"/>
      <c r="E524" s="524"/>
      <c r="F524" s="524"/>
      <c r="G524" s="524"/>
      <c r="H524" s="524"/>
      <c r="I524" s="525"/>
    </row>
    <row r="525" spans="2:9" ht="18" customHeight="1" x14ac:dyDescent="0.25">
      <c r="B525" s="204" t="s">
        <v>116</v>
      </c>
      <c r="C525" s="505" t="s">
        <v>117</v>
      </c>
      <c r="D525" s="505"/>
      <c r="E525" s="505"/>
      <c r="F525" s="205" t="s">
        <v>64</v>
      </c>
      <c r="G525" s="94">
        <v>12.2</v>
      </c>
      <c r="H525" s="94">
        <v>1.38</v>
      </c>
      <c r="I525" s="90">
        <f t="shared" ref="I525:I531" si="12">ROUND(G525*H525,2)</f>
        <v>16.84</v>
      </c>
    </row>
    <row r="526" spans="2:9" ht="18" customHeight="1" x14ac:dyDescent="0.25">
      <c r="B526" s="204" t="s">
        <v>104</v>
      </c>
      <c r="C526" s="201" t="s">
        <v>105</v>
      </c>
      <c r="D526" s="201"/>
      <c r="E526" s="140"/>
      <c r="F526" s="205" t="s">
        <v>62</v>
      </c>
      <c r="G526" s="94">
        <v>1</v>
      </c>
      <c r="H526" s="94">
        <v>1.71</v>
      </c>
      <c r="I526" s="90">
        <f t="shared" si="12"/>
        <v>1.71</v>
      </c>
    </row>
    <row r="527" spans="2:9" ht="18" customHeight="1" x14ac:dyDescent="0.25">
      <c r="B527" s="204" t="s">
        <v>100</v>
      </c>
      <c r="C527" s="505" t="s">
        <v>101</v>
      </c>
      <c r="D527" s="505"/>
      <c r="E527" s="140"/>
      <c r="F527" s="205" t="s">
        <v>64</v>
      </c>
      <c r="G527" s="94">
        <v>3</v>
      </c>
      <c r="H527" s="94">
        <v>1.98</v>
      </c>
      <c r="I527" s="90">
        <f t="shared" si="12"/>
        <v>5.94</v>
      </c>
    </row>
    <row r="528" spans="2:9" ht="18" customHeight="1" x14ac:dyDescent="0.25">
      <c r="B528" s="204" t="s">
        <v>111</v>
      </c>
      <c r="C528" s="505" t="s">
        <v>112</v>
      </c>
      <c r="D528" s="505"/>
      <c r="E528" s="505"/>
      <c r="F528" s="205" t="s">
        <v>62</v>
      </c>
      <c r="G528" s="94">
        <v>0.17</v>
      </c>
      <c r="H528" s="94">
        <v>5.53</v>
      </c>
      <c r="I528" s="90">
        <f t="shared" si="12"/>
        <v>0.94</v>
      </c>
    </row>
    <row r="529" spans="2:9" ht="18" customHeight="1" x14ac:dyDescent="0.25">
      <c r="B529" s="204" t="s">
        <v>106</v>
      </c>
      <c r="C529" s="201" t="s">
        <v>107</v>
      </c>
      <c r="D529" s="201"/>
      <c r="E529" s="140"/>
      <c r="F529" s="205" t="s">
        <v>62</v>
      </c>
      <c r="G529" s="94">
        <v>2</v>
      </c>
      <c r="H529" s="94">
        <v>1.07</v>
      </c>
      <c r="I529" s="90">
        <f t="shared" si="12"/>
        <v>2.14</v>
      </c>
    </row>
    <row r="530" spans="2:9" ht="18" customHeight="1" x14ac:dyDescent="0.25">
      <c r="B530" s="204" t="s">
        <v>98</v>
      </c>
      <c r="C530" s="201" t="s">
        <v>99</v>
      </c>
      <c r="D530" s="201"/>
      <c r="E530" s="140"/>
      <c r="F530" s="205" t="s">
        <v>62</v>
      </c>
      <c r="G530" s="94">
        <v>1</v>
      </c>
      <c r="H530" s="94">
        <v>1.39</v>
      </c>
      <c r="I530" s="90">
        <f t="shared" si="12"/>
        <v>1.39</v>
      </c>
    </row>
    <row r="531" spans="2:9" ht="18" customHeight="1" x14ac:dyDescent="0.25">
      <c r="B531" s="204" t="s">
        <v>125</v>
      </c>
      <c r="C531" s="505" t="s">
        <v>126</v>
      </c>
      <c r="D531" s="505"/>
      <c r="E531" s="505"/>
      <c r="F531" s="205" t="s">
        <v>62</v>
      </c>
      <c r="G531" s="94">
        <v>1</v>
      </c>
      <c r="H531" s="94">
        <v>7.8</v>
      </c>
      <c r="I531" s="90">
        <f t="shared" si="12"/>
        <v>7.8</v>
      </c>
    </row>
    <row r="532" spans="2:9" ht="18" customHeight="1" x14ac:dyDescent="0.25">
      <c r="B532" s="506" t="s">
        <v>60</v>
      </c>
      <c r="C532" s="507"/>
      <c r="D532" s="507"/>
      <c r="E532" s="507"/>
      <c r="F532" s="507"/>
      <c r="G532" s="507"/>
      <c r="H532" s="507"/>
      <c r="I532" s="91">
        <f>SUM(I525:I531)</f>
        <v>36.760000000000005</v>
      </c>
    </row>
    <row r="533" spans="2:9" ht="18" customHeight="1" x14ac:dyDescent="0.25">
      <c r="B533" s="508"/>
      <c r="C533" s="509"/>
      <c r="D533" s="509"/>
      <c r="E533" s="509"/>
      <c r="F533" s="509"/>
      <c r="G533" s="509"/>
      <c r="H533" s="509"/>
      <c r="I533" s="510"/>
    </row>
    <row r="534" spans="2:9" ht="18" customHeight="1" x14ac:dyDescent="0.25">
      <c r="B534" s="511" t="s">
        <v>54</v>
      </c>
      <c r="C534" s="512"/>
      <c r="D534" s="512"/>
      <c r="E534" s="512"/>
      <c r="F534" s="512"/>
      <c r="G534" s="512"/>
      <c r="H534" s="512"/>
      <c r="I534" s="92">
        <f>I523+I532</f>
        <v>70.360000000000014</v>
      </c>
    </row>
    <row r="535" spans="2:9" ht="18" customHeight="1" x14ac:dyDescent="0.25">
      <c r="B535" s="511" t="s">
        <v>55</v>
      </c>
      <c r="C535" s="512"/>
      <c r="D535" s="512"/>
      <c r="E535" s="512"/>
      <c r="F535" s="512"/>
      <c r="G535" s="512"/>
      <c r="H535" s="512"/>
      <c r="I535" s="92">
        <f>ROUND(I523*$D$14,2)</f>
        <v>30.06</v>
      </c>
    </row>
    <row r="536" spans="2:9" ht="18" customHeight="1" x14ac:dyDescent="0.25">
      <c r="B536" s="513" t="s">
        <v>56</v>
      </c>
      <c r="C536" s="514"/>
      <c r="D536" s="514"/>
      <c r="E536" s="514"/>
      <c r="F536" s="514"/>
      <c r="G536" s="514"/>
      <c r="H536" s="514"/>
      <c r="I536" s="93">
        <f>I534+I535</f>
        <v>100.42000000000002</v>
      </c>
    </row>
    <row r="537" spans="2:9" ht="18" customHeight="1" x14ac:dyDescent="0.25">
      <c r="B537" s="106"/>
      <c r="C537" s="107"/>
      <c r="D537" s="147"/>
      <c r="E537" s="147"/>
      <c r="F537" s="108"/>
      <c r="G537" s="108"/>
      <c r="H537" s="108"/>
      <c r="I537" s="109"/>
    </row>
    <row r="538" spans="2:9" ht="18" customHeight="1" x14ac:dyDescent="0.25">
      <c r="B538" s="515" t="s">
        <v>127</v>
      </c>
      <c r="C538" s="516"/>
      <c r="D538" s="516"/>
      <c r="E538" s="516"/>
      <c r="F538" s="516"/>
      <c r="G538" s="516"/>
      <c r="H538" s="516"/>
      <c r="I538" s="517"/>
    </row>
    <row r="539" spans="2:9" ht="18" customHeight="1" x14ac:dyDescent="0.25">
      <c r="B539" s="518" t="s">
        <v>57</v>
      </c>
      <c r="C539" s="519"/>
      <c r="D539" s="83">
        <f>I559</f>
        <v>92.820000000000007</v>
      </c>
      <c r="E539" s="84"/>
      <c r="F539" s="84"/>
      <c r="G539" s="85"/>
      <c r="H539" s="85"/>
      <c r="I539" s="86" t="s">
        <v>63</v>
      </c>
    </row>
    <row r="540" spans="2:9" ht="18" customHeight="1" x14ac:dyDescent="0.25">
      <c r="B540" s="520"/>
      <c r="C540" s="521"/>
      <c r="D540" s="521"/>
      <c r="E540" s="521"/>
      <c r="F540" s="521"/>
      <c r="G540" s="521"/>
      <c r="H540" s="521"/>
      <c r="I540" s="522"/>
    </row>
    <row r="541" spans="2:9" ht="18" customHeight="1" x14ac:dyDescent="0.25">
      <c r="B541" s="87" t="s">
        <v>44</v>
      </c>
      <c r="C541" s="88" t="s">
        <v>45</v>
      </c>
      <c r="D541" s="88"/>
      <c r="E541" s="88"/>
      <c r="F541" s="88" t="s">
        <v>46</v>
      </c>
      <c r="G541" s="88" t="s">
        <v>47</v>
      </c>
      <c r="H541" s="88" t="s">
        <v>48</v>
      </c>
      <c r="I541" s="89" t="s">
        <v>49</v>
      </c>
    </row>
    <row r="542" spans="2:9" ht="18" customHeight="1" x14ac:dyDescent="0.25">
      <c r="B542" s="523" t="s">
        <v>50</v>
      </c>
      <c r="C542" s="524"/>
      <c r="D542" s="524"/>
      <c r="E542" s="524"/>
      <c r="F542" s="524"/>
      <c r="G542" s="524"/>
      <c r="H542" s="524"/>
      <c r="I542" s="525"/>
    </row>
    <row r="543" spans="2:9" ht="18" customHeight="1" x14ac:dyDescent="0.25">
      <c r="B543" s="204" t="s">
        <v>102</v>
      </c>
      <c r="C543" s="201" t="s">
        <v>103</v>
      </c>
      <c r="D543" s="139"/>
      <c r="E543" s="140"/>
      <c r="F543" s="205" t="s">
        <v>51</v>
      </c>
      <c r="G543" s="94">
        <v>3</v>
      </c>
      <c r="H543" s="94">
        <f>6.95/1.8946</f>
        <v>3.6683204898131532</v>
      </c>
      <c r="I543" s="90">
        <f>ROUND(G543*H543,2)</f>
        <v>11</v>
      </c>
    </row>
    <row r="544" spans="2:9" ht="18" customHeight="1" x14ac:dyDescent="0.25">
      <c r="B544" s="204" t="s">
        <v>81</v>
      </c>
      <c r="C544" s="201" t="s">
        <v>61</v>
      </c>
      <c r="D544" s="139"/>
      <c r="E544" s="140"/>
      <c r="F544" s="205" t="s">
        <v>51</v>
      </c>
      <c r="G544" s="94">
        <v>3</v>
      </c>
      <c r="H544" s="94">
        <f>9/1.8946</f>
        <v>4.7503430803335798</v>
      </c>
      <c r="I544" s="90">
        <f>ROUND(G544*H544,2)</f>
        <v>14.25</v>
      </c>
    </row>
    <row r="545" spans="2:9" ht="18" customHeight="1" x14ac:dyDescent="0.25">
      <c r="B545" s="204" t="s">
        <v>80</v>
      </c>
      <c r="C545" s="201" t="s">
        <v>52</v>
      </c>
      <c r="D545" s="139"/>
      <c r="E545" s="140"/>
      <c r="F545" s="205" t="s">
        <v>51</v>
      </c>
      <c r="G545" s="94">
        <v>2.5</v>
      </c>
      <c r="H545" s="94">
        <f>6.33/1.8946</f>
        <v>3.3410746331679508</v>
      </c>
      <c r="I545" s="90">
        <f>ROUND(G545*H545,2)</f>
        <v>8.35</v>
      </c>
    </row>
    <row r="546" spans="2:9" ht="18" customHeight="1" x14ac:dyDescent="0.25">
      <c r="B546" s="506" t="s">
        <v>53</v>
      </c>
      <c r="C546" s="507"/>
      <c r="D546" s="507"/>
      <c r="E546" s="507"/>
      <c r="F546" s="507"/>
      <c r="G546" s="507"/>
      <c r="H546" s="507"/>
      <c r="I546" s="91">
        <f>SUM(I543:I545)</f>
        <v>33.6</v>
      </c>
    </row>
    <row r="547" spans="2:9" ht="18" customHeight="1" x14ac:dyDescent="0.25">
      <c r="B547" s="523" t="s">
        <v>59</v>
      </c>
      <c r="C547" s="524"/>
      <c r="D547" s="524"/>
      <c r="E547" s="524"/>
      <c r="F547" s="524"/>
      <c r="G547" s="524"/>
      <c r="H547" s="524"/>
      <c r="I547" s="525"/>
    </row>
    <row r="548" spans="2:9" ht="18" customHeight="1" x14ac:dyDescent="0.25">
      <c r="B548" s="204" t="s">
        <v>116</v>
      </c>
      <c r="C548" s="505" t="s">
        <v>117</v>
      </c>
      <c r="D548" s="505"/>
      <c r="E548" s="505"/>
      <c r="F548" s="205" t="s">
        <v>64</v>
      </c>
      <c r="G548" s="94">
        <v>8</v>
      </c>
      <c r="H548" s="94">
        <v>1.38</v>
      </c>
      <c r="I548" s="90">
        <f t="shared" ref="I548:I554" si="13">ROUND(G548*H548,2)</f>
        <v>11.04</v>
      </c>
    </row>
    <row r="549" spans="2:9" ht="18" customHeight="1" x14ac:dyDescent="0.25">
      <c r="B549" s="204" t="s">
        <v>104</v>
      </c>
      <c r="C549" s="201" t="s">
        <v>105</v>
      </c>
      <c r="D549" s="201"/>
      <c r="E549" s="140"/>
      <c r="F549" s="205" t="s">
        <v>62</v>
      </c>
      <c r="G549" s="94">
        <v>1</v>
      </c>
      <c r="H549" s="94">
        <v>1.71</v>
      </c>
      <c r="I549" s="90">
        <f t="shared" si="13"/>
        <v>1.71</v>
      </c>
    </row>
    <row r="550" spans="2:9" ht="18" customHeight="1" x14ac:dyDescent="0.25">
      <c r="B550" s="204" t="s">
        <v>100</v>
      </c>
      <c r="C550" s="505" t="s">
        <v>101</v>
      </c>
      <c r="D550" s="505"/>
      <c r="E550" s="140"/>
      <c r="F550" s="205" t="s">
        <v>64</v>
      </c>
      <c r="G550" s="94">
        <v>3</v>
      </c>
      <c r="H550" s="94">
        <v>1.98</v>
      </c>
      <c r="I550" s="90">
        <f t="shared" si="13"/>
        <v>5.94</v>
      </c>
    </row>
    <row r="551" spans="2:9" ht="18" customHeight="1" x14ac:dyDescent="0.25">
      <c r="B551" s="204" t="s">
        <v>111</v>
      </c>
      <c r="C551" s="505" t="s">
        <v>112</v>
      </c>
      <c r="D551" s="505"/>
      <c r="E551" s="505"/>
      <c r="F551" s="205" t="s">
        <v>62</v>
      </c>
      <c r="G551" s="94">
        <v>0.15</v>
      </c>
      <c r="H551" s="94">
        <v>5.53</v>
      </c>
      <c r="I551" s="90">
        <f t="shared" si="13"/>
        <v>0.83</v>
      </c>
    </row>
    <row r="552" spans="2:9" ht="18" customHeight="1" x14ac:dyDescent="0.25">
      <c r="B552" s="204" t="s">
        <v>106</v>
      </c>
      <c r="C552" s="201" t="s">
        <v>107</v>
      </c>
      <c r="D552" s="201"/>
      <c r="E552" s="140"/>
      <c r="F552" s="205" t="s">
        <v>62</v>
      </c>
      <c r="G552" s="94">
        <v>2</v>
      </c>
      <c r="H552" s="94">
        <v>1.07</v>
      </c>
      <c r="I552" s="90">
        <f t="shared" si="13"/>
        <v>2.14</v>
      </c>
    </row>
    <row r="553" spans="2:9" ht="18" customHeight="1" x14ac:dyDescent="0.25">
      <c r="B553" s="204" t="s">
        <v>98</v>
      </c>
      <c r="C553" s="201" t="s">
        <v>99</v>
      </c>
      <c r="D553" s="201"/>
      <c r="E553" s="140"/>
      <c r="F553" s="205" t="s">
        <v>62</v>
      </c>
      <c r="G553" s="94">
        <v>1</v>
      </c>
      <c r="H553" s="94">
        <v>1.39</v>
      </c>
      <c r="I553" s="90">
        <f t="shared" si="13"/>
        <v>1.39</v>
      </c>
    </row>
    <row r="554" spans="2:9" ht="18" customHeight="1" x14ac:dyDescent="0.25">
      <c r="B554" s="204" t="s">
        <v>128</v>
      </c>
      <c r="C554" s="505" t="s">
        <v>129</v>
      </c>
      <c r="D554" s="505"/>
      <c r="E554" s="505"/>
      <c r="F554" s="205" t="s">
        <v>62</v>
      </c>
      <c r="G554" s="94">
        <v>1</v>
      </c>
      <c r="H554" s="94">
        <v>6.11</v>
      </c>
      <c r="I554" s="90">
        <f t="shared" si="13"/>
        <v>6.11</v>
      </c>
    </row>
    <row r="555" spans="2:9" ht="18" customHeight="1" x14ac:dyDescent="0.25">
      <c r="B555" s="506" t="s">
        <v>60</v>
      </c>
      <c r="C555" s="507"/>
      <c r="D555" s="507"/>
      <c r="E555" s="507"/>
      <c r="F555" s="507"/>
      <c r="G555" s="507"/>
      <c r="H555" s="507"/>
      <c r="I555" s="91">
        <f>SUM(I548:I554)</f>
        <v>29.16</v>
      </c>
    </row>
    <row r="556" spans="2:9" ht="18" customHeight="1" x14ac:dyDescent="0.25">
      <c r="B556" s="508"/>
      <c r="C556" s="509"/>
      <c r="D556" s="509"/>
      <c r="E556" s="509"/>
      <c r="F556" s="509"/>
      <c r="G556" s="509"/>
      <c r="H556" s="509"/>
      <c r="I556" s="510"/>
    </row>
    <row r="557" spans="2:9" ht="18" customHeight="1" x14ac:dyDescent="0.25">
      <c r="B557" s="511" t="s">
        <v>54</v>
      </c>
      <c r="C557" s="512"/>
      <c r="D557" s="512"/>
      <c r="E557" s="512"/>
      <c r="F557" s="512"/>
      <c r="G557" s="512"/>
      <c r="H557" s="512"/>
      <c r="I557" s="92">
        <f>I546+I555</f>
        <v>62.760000000000005</v>
      </c>
    </row>
    <row r="558" spans="2:9" ht="18" customHeight="1" x14ac:dyDescent="0.25">
      <c r="B558" s="511" t="s">
        <v>55</v>
      </c>
      <c r="C558" s="512"/>
      <c r="D558" s="512"/>
      <c r="E558" s="512"/>
      <c r="F558" s="512"/>
      <c r="G558" s="512"/>
      <c r="H558" s="512"/>
      <c r="I558" s="92">
        <f>ROUND(I546*$D$14,2)</f>
        <v>30.06</v>
      </c>
    </row>
    <row r="559" spans="2:9" ht="18" customHeight="1" x14ac:dyDescent="0.25">
      <c r="B559" s="513" t="s">
        <v>56</v>
      </c>
      <c r="C559" s="514"/>
      <c r="D559" s="514"/>
      <c r="E559" s="514"/>
      <c r="F559" s="514"/>
      <c r="G559" s="514"/>
      <c r="H559" s="514"/>
      <c r="I559" s="93">
        <f>I557+I558</f>
        <v>92.820000000000007</v>
      </c>
    </row>
    <row r="560" spans="2:9" ht="18" customHeight="1" x14ac:dyDescent="0.25">
      <c r="B560" s="149"/>
      <c r="C560" s="150"/>
      <c r="D560" s="151"/>
      <c r="E560" s="152"/>
      <c r="F560" s="153"/>
      <c r="G560" s="153"/>
      <c r="H560" s="150"/>
      <c r="I560" s="150"/>
    </row>
    <row r="561" spans="2:9" ht="18" customHeight="1" x14ac:dyDescent="0.25">
      <c r="B561" s="515" t="s">
        <v>130</v>
      </c>
      <c r="C561" s="516"/>
      <c r="D561" s="516"/>
      <c r="E561" s="516"/>
      <c r="F561" s="516"/>
      <c r="G561" s="516"/>
      <c r="H561" s="516"/>
      <c r="I561" s="517"/>
    </row>
    <row r="562" spans="2:9" ht="18" customHeight="1" x14ac:dyDescent="0.25">
      <c r="B562" s="518" t="s">
        <v>57</v>
      </c>
      <c r="C562" s="519"/>
      <c r="D562" s="83">
        <f>I582</f>
        <v>100.64000000000001</v>
      </c>
      <c r="E562" s="84"/>
      <c r="F562" s="84"/>
      <c r="G562" s="85"/>
      <c r="H562" s="85"/>
      <c r="I562" s="86" t="s">
        <v>63</v>
      </c>
    </row>
    <row r="563" spans="2:9" ht="18" customHeight="1" x14ac:dyDescent="0.25">
      <c r="B563" s="520"/>
      <c r="C563" s="521"/>
      <c r="D563" s="521"/>
      <c r="E563" s="521"/>
      <c r="F563" s="521"/>
      <c r="G563" s="521"/>
      <c r="H563" s="521"/>
      <c r="I563" s="522"/>
    </row>
    <row r="564" spans="2:9" ht="18" customHeight="1" x14ac:dyDescent="0.25">
      <c r="B564" s="87" t="s">
        <v>44</v>
      </c>
      <c r="C564" s="88" t="s">
        <v>45</v>
      </c>
      <c r="D564" s="88"/>
      <c r="E564" s="88"/>
      <c r="F564" s="88" t="s">
        <v>46</v>
      </c>
      <c r="G564" s="88" t="s">
        <v>47</v>
      </c>
      <c r="H564" s="88" t="s">
        <v>48</v>
      </c>
      <c r="I564" s="89" t="s">
        <v>49</v>
      </c>
    </row>
    <row r="565" spans="2:9" ht="18" customHeight="1" x14ac:dyDescent="0.25">
      <c r="B565" s="523" t="s">
        <v>50</v>
      </c>
      <c r="C565" s="524"/>
      <c r="D565" s="524"/>
      <c r="E565" s="524"/>
      <c r="F565" s="524"/>
      <c r="G565" s="524"/>
      <c r="H565" s="524"/>
      <c r="I565" s="525"/>
    </row>
    <row r="566" spans="2:9" ht="18" customHeight="1" x14ac:dyDescent="0.25">
      <c r="B566" s="204" t="s">
        <v>102</v>
      </c>
      <c r="C566" s="201" t="s">
        <v>103</v>
      </c>
      <c r="D566" s="139"/>
      <c r="E566" s="140"/>
      <c r="F566" s="205" t="s">
        <v>51</v>
      </c>
      <c r="G566" s="94">
        <v>3</v>
      </c>
      <c r="H566" s="94">
        <f>6.95/1.8946</f>
        <v>3.6683204898131532</v>
      </c>
      <c r="I566" s="90">
        <f>ROUND(G566*H566,2)</f>
        <v>11</v>
      </c>
    </row>
    <row r="567" spans="2:9" ht="18" customHeight="1" x14ac:dyDescent="0.25">
      <c r="B567" s="204" t="s">
        <v>81</v>
      </c>
      <c r="C567" s="201" t="s">
        <v>61</v>
      </c>
      <c r="D567" s="139"/>
      <c r="E567" s="140"/>
      <c r="F567" s="205" t="s">
        <v>51</v>
      </c>
      <c r="G567" s="94">
        <v>3</v>
      </c>
      <c r="H567" s="94">
        <f>9/1.8946</f>
        <v>4.7503430803335798</v>
      </c>
      <c r="I567" s="90">
        <f>ROUND(G567*H567,2)</f>
        <v>14.25</v>
      </c>
    </row>
    <row r="568" spans="2:9" ht="18" customHeight="1" x14ac:dyDescent="0.25">
      <c r="B568" s="204" t="s">
        <v>80</v>
      </c>
      <c r="C568" s="201" t="s">
        <v>52</v>
      </c>
      <c r="D568" s="139"/>
      <c r="E568" s="140"/>
      <c r="F568" s="205" t="s">
        <v>51</v>
      </c>
      <c r="G568" s="94">
        <v>2.5</v>
      </c>
      <c r="H568" s="94">
        <f>6.33/1.8946</f>
        <v>3.3410746331679508</v>
      </c>
      <c r="I568" s="90">
        <f>ROUND(G568*H568,2)</f>
        <v>8.35</v>
      </c>
    </row>
    <row r="569" spans="2:9" ht="18" customHeight="1" x14ac:dyDescent="0.25">
      <c r="B569" s="506" t="s">
        <v>53</v>
      </c>
      <c r="C569" s="507"/>
      <c r="D569" s="507"/>
      <c r="E569" s="507"/>
      <c r="F569" s="507"/>
      <c r="G569" s="507"/>
      <c r="H569" s="507"/>
      <c r="I569" s="91">
        <f>SUM(I566:I568)</f>
        <v>33.6</v>
      </c>
    </row>
    <row r="570" spans="2:9" ht="18" customHeight="1" x14ac:dyDescent="0.25">
      <c r="B570" s="523" t="s">
        <v>59</v>
      </c>
      <c r="C570" s="524"/>
      <c r="D570" s="524"/>
      <c r="E570" s="524"/>
      <c r="F570" s="524"/>
      <c r="G570" s="524"/>
      <c r="H570" s="524"/>
      <c r="I570" s="525"/>
    </row>
    <row r="571" spans="2:9" ht="18" customHeight="1" x14ac:dyDescent="0.25">
      <c r="B571" s="204" t="s">
        <v>116</v>
      </c>
      <c r="C571" s="505" t="s">
        <v>117</v>
      </c>
      <c r="D571" s="505"/>
      <c r="E571" s="505"/>
      <c r="F571" s="205" t="s">
        <v>64</v>
      </c>
      <c r="G571" s="94">
        <v>12</v>
      </c>
      <c r="H571" s="94">
        <v>1.38</v>
      </c>
      <c r="I571" s="90">
        <f t="shared" ref="I571:I577" si="14">ROUND(G571*H571,2)</f>
        <v>16.559999999999999</v>
      </c>
    </row>
    <row r="572" spans="2:9" ht="18" customHeight="1" x14ac:dyDescent="0.25">
      <c r="B572" s="204" t="s">
        <v>104</v>
      </c>
      <c r="C572" s="505" t="s">
        <v>105</v>
      </c>
      <c r="D572" s="505"/>
      <c r="E572" s="505"/>
      <c r="F572" s="205" t="s">
        <v>62</v>
      </c>
      <c r="G572" s="94">
        <v>1</v>
      </c>
      <c r="H572" s="94">
        <v>1.71</v>
      </c>
      <c r="I572" s="90">
        <f t="shared" si="14"/>
        <v>1.71</v>
      </c>
    </row>
    <row r="573" spans="2:9" ht="18" customHeight="1" x14ac:dyDescent="0.25">
      <c r="B573" s="204" t="s">
        <v>100</v>
      </c>
      <c r="C573" s="154" t="s">
        <v>101</v>
      </c>
      <c r="D573" s="154"/>
      <c r="E573" s="140"/>
      <c r="F573" s="205" t="s">
        <v>64</v>
      </c>
      <c r="G573" s="94">
        <v>3</v>
      </c>
      <c r="H573" s="94">
        <v>1.98</v>
      </c>
      <c r="I573" s="90">
        <f t="shared" si="14"/>
        <v>5.94</v>
      </c>
    </row>
    <row r="574" spans="2:9" ht="18" customHeight="1" x14ac:dyDescent="0.25">
      <c r="B574" s="204" t="s">
        <v>111</v>
      </c>
      <c r="C574" s="154" t="s">
        <v>112</v>
      </c>
      <c r="D574" s="154"/>
      <c r="E574" s="140"/>
      <c r="F574" s="205" t="s">
        <v>62</v>
      </c>
      <c r="G574" s="94">
        <v>0.15</v>
      </c>
      <c r="H574" s="94">
        <v>5.53</v>
      </c>
      <c r="I574" s="90">
        <f t="shared" si="14"/>
        <v>0.83</v>
      </c>
    </row>
    <row r="575" spans="2:9" ht="18" customHeight="1" x14ac:dyDescent="0.25">
      <c r="B575" s="204" t="s">
        <v>106</v>
      </c>
      <c r="C575" s="201" t="s">
        <v>107</v>
      </c>
      <c r="D575" s="201"/>
      <c r="E575" s="140"/>
      <c r="F575" s="205" t="s">
        <v>62</v>
      </c>
      <c r="G575" s="94">
        <v>2</v>
      </c>
      <c r="H575" s="94">
        <v>1.07</v>
      </c>
      <c r="I575" s="90">
        <f t="shared" si="14"/>
        <v>2.14</v>
      </c>
    </row>
    <row r="576" spans="2:9" ht="18" customHeight="1" x14ac:dyDescent="0.25">
      <c r="B576" s="204" t="s">
        <v>98</v>
      </c>
      <c r="C576" s="201" t="s">
        <v>99</v>
      </c>
      <c r="D576" s="201"/>
      <c r="E576" s="140"/>
      <c r="F576" s="205" t="s">
        <v>62</v>
      </c>
      <c r="G576" s="94">
        <v>1</v>
      </c>
      <c r="H576" s="94">
        <v>1.39</v>
      </c>
      <c r="I576" s="90">
        <f t="shared" si="14"/>
        <v>1.39</v>
      </c>
    </row>
    <row r="577" spans="2:9" ht="18" customHeight="1" x14ac:dyDescent="0.25">
      <c r="B577" s="204" t="s">
        <v>131</v>
      </c>
      <c r="C577" s="505" t="s">
        <v>132</v>
      </c>
      <c r="D577" s="505"/>
      <c r="E577" s="140"/>
      <c r="F577" s="205" t="s">
        <v>62</v>
      </c>
      <c r="G577" s="94">
        <v>1</v>
      </c>
      <c r="H577" s="94">
        <v>8.41</v>
      </c>
      <c r="I577" s="90">
        <f t="shared" si="14"/>
        <v>8.41</v>
      </c>
    </row>
    <row r="578" spans="2:9" ht="18" customHeight="1" x14ac:dyDescent="0.25">
      <c r="B578" s="506" t="s">
        <v>60</v>
      </c>
      <c r="C578" s="507"/>
      <c r="D578" s="507"/>
      <c r="E578" s="507"/>
      <c r="F578" s="507"/>
      <c r="G578" s="507"/>
      <c r="H578" s="507"/>
      <c r="I578" s="91">
        <f>SUM(I571:I577)</f>
        <v>36.980000000000004</v>
      </c>
    </row>
    <row r="579" spans="2:9" ht="18" customHeight="1" x14ac:dyDescent="0.25">
      <c r="B579" s="508"/>
      <c r="C579" s="509"/>
      <c r="D579" s="509"/>
      <c r="E579" s="509"/>
      <c r="F579" s="509"/>
      <c r="G579" s="509"/>
      <c r="H579" s="509"/>
      <c r="I579" s="510"/>
    </row>
    <row r="580" spans="2:9" ht="18" customHeight="1" x14ac:dyDescent="0.25">
      <c r="B580" s="511" t="s">
        <v>54</v>
      </c>
      <c r="C580" s="512"/>
      <c r="D580" s="512"/>
      <c r="E580" s="512"/>
      <c r="F580" s="512"/>
      <c r="G580" s="512"/>
      <c r="H580" s="512"/>
      <c r="I580" s="92">
        <f>I569+I578</f>
        <v>70.580000000000013</v>
      </c>
    </row>
    <row r="581" spans="2:9" ht="18" customHeight="1" x14ac:dyDescent="0.25">
      <c r="B581" s="511" t="s">
        <v>55</v>
      </c>
      <c r="C581" s="512"/>
      <c r="D581" s="512"/>
      <c r="E581" s="512"/>
      <c r="F581" s="512"/>
      <c r="G581" s="512"/>
      <c r="H581" s="512"/>
      <c r="I581" s="92">
        <f>ROUND(I569*$D$14,2)</f>
        <v>30.06</v>
      </c>
    </row>
    <row r="582" spans="2:9" ht="18" customHeight="1" x14ac:dyDescent="0.25">
      <c r="B582" s="513" t="s">
        <v>56</v>
      </c>
      <c r="C582" s="514"/>
      <c r="D582" s="514"/>
      <c r="E582" s="514"/>
      <c r="F582" s="514"/>
      <c r="G582" s="514"/>
      <c r="H582" s="514"/>
      <c r="I582" s="93">
        <f>I580+I581</f>
        <v>100.64000000000001</v>
      </c>
    </row>
    <row r="583" spans="2:9" ht="18" customHeight="1" x14ac:dyDescent="0.25">
      <c r="B583" s="106"/>
      <c r="C583" s="107"/>
      <c r="D583" s="147"/>
      <c r="E583" s="147"/>
      <c r="F583" s="108"/>
      <c r="G583" s="108"/>
      <c r="H583" s="108"/>
      <c r="I583" s="109"/>
    </row>
    <row r="584" spans="2:9" ht="18" customHeight="1" x14ac:dyDescent="0.25">
      <c r="B584" s="149"/>
      <c r="C584" s="150"/>
      <c r="D584" s="151"/>
      <c r="E584" s="152"/>
      <c r="F584" s="153"/>
      <c r="G584" s="153"/>
      <c r="H584" s="150"/>
      <c r="I584" s="150"/>
    </row>
    <row r="585" spans="2:9" ht="18" customHeight="1" x14ac:dyDescent="0.25">
      <c r="B585" s="515" t="s">
        <v>133</v>
      </c>
      <c r="C585" s="516"/>
      <c r="D585" s="516"/>
      <c r="E585" s="516"/>
      <c r="F585" s="516"/>
      <c r="G585" s="516"/>
      <c r="H585" s="516"/>
      <c r="I585" s="517"/>
    </row>
    <row r="586" spans="2:9" ht="18" customHeight="1" x14ac:dyDescent="0.25">
      <c r="B586" s="518" t="s">
        <v>57</v>
      </c>
      <c r="C586" s="519"/>
      <c r="D586" s="83">
        <f>I599</f>
        <v>6.04</v>
      </c>
      <c r="E586" s="84"/>
      <c r="F586" s="84"/>
      <c r="G586" s="85"/>
      <c r="H586" s="85"/>
      <c r="I586" s="86" t="s">
        <v>63</v>
      </c>
    </row>
    <row r="587" spans="2:9" ht="18" customHeight="1" x14ac:dyDescent="0.25">
      <c r="B587" s="520"/>
      <c r="C587" s="521"/>
      <c r="D587" s="521"/>
      <c r="E587" s="521"/>
      <c r="F587" s="521"/>
      <c r="G587" s="521"/>
      <c r="H587" s="521"/>
      <c r="I587" s="522"/>
    </row>
    <row r="588" spans="2:9" ht="18" customHeight="1" x14ac:dyDescent="0.25">
      <c r="B588" s="87" t="s">
        <v>44</v>
      </c>
      <c r="C588" s="88" t="s">
        <v>45</v>
      </c>
      <c r="D588" s="88"/>
      <c r="E588" s="88"/>
      <c r="F588" s="88" t="s">
        <v>46</v>
      </c>
      <c r="G588" s="88" t="s">
        <v>47</v>
      </c>
      <c r="H588" s="88" t="s">
        <v>48</v>
      </c>
      <c r="I588" s="89" t="s">
        <v>49</v>
      </c>
    </row>
    <row r="589" spans="2:9" ht="18" customHeight="1" x14ac:dyDescent="0.25">
      <c r="B589" s="523" t="s">
        <v>50</v>
      </c>
      <c r="C589" s="524"/>
      <c r="D589" s="524"/>
      <c r="E589" s="524"/>
      <c r="F589" s="524"/>
      <c r="G589" s="524"/>
      <c r="H589" s="524"/>
      <c r="I589" s="525"/>
    </row>
    <row r="590" spans="2:9" ht="18" customHeight="1" x14ac:dyDescent="0.25">
      <c r="B590" s="204" t="s">
        <v>81</v>
      </c>
      <c r="C590" s="201" t="s">
        <v>61</v>
      </c>
      <c r="D590" s="139"/>
      <c r="E590" s="140"/>
      <c r="F590" s="205" t="s">
        <v>51</v>
      </c>
      <c r="G590" s="94">
        <v>0.15</v>
      </c>
      <c r="H590" s="94">
        <f>9/1.8946</f>
        <v>4.7503430803335798</v>
      </c>
      <c r="I590" s="90">
        <f>ROUND(G590*H590,2)</f>
        <v>0.71</v>
      </c>
    </row>
    <row r="591" spans="2:9" ht="18" customHeight="1" x14ac:dyDescent="0.25">
      <c r="B591" s="204" t="s">
        <v>102</v>
      </c>
      <c r="C591" s="201" t="s">
        <v>103</v>
      </c>
      <c r="D591" s="139"/>
      <c r="E591" s="140"/>
      <c r="F591" s="205" t="s">
        <v>51</v>
      </c>
      <c r="G591" s="94">
        <v>0.15</v>
      </c>
      <c r="H591" s="94">
        <f>6.95/1.8946</f>
        <v>3.6683204898131532</v>
      </c>
      <c r="I591" s="90">
        <f>ROUND(G591*H591,2)</f>
        <v>0.55000000000000004</v>
      </c>
    </row>
    <row r="592" spans="2:9" ht="18" customHeight="1" x14ac:dyDescent="0.25">
      <c r="B592" s="506" t="s">
        <v>53</v>
      </c>
      <c r="C592" s="507"/>
      <c r="D592" s="507"/>
      <c r="E592" s="507"/>
      <c r="F592" s="507"/>
      <c r="G592" s="507"/>
      <c r="H592" s="507"/>
      <c r="I592" s="91">
        <f>SUM(I590:I591)</f>
        <v>1.26</v>
      </c>
    </row>
    <row r="593" spans="2:9" ht="18" customHeight="1" x14ac:dyDescent="0.25">
      <c r="B593" s="523" t="s">
        <v>59</v>
      </c>
      <c r="C593" s="524"/>
      <c r="D593" s="524"/>
      <c r="E593" s="524"/>
      <c r="F593" s="524"/>
      <c r="G593" s="524"/>
      <c r="H593" s="524"/>
      <c r="I593" s="525"/>
    </row>
    <row r="594" spans="2:9" ht="18" customHeight="1" x14ac:dyDescent="0.25">
      <c r="B594" s="204" t="s">
        <v>134</v>
      </c>
      <c r="C594" s="201" t="s">
        <v>135</v>
      </c>
      <c r="D594" s="201"/>
      <c r="E594" s="140"/>
      <c r="F594" s="205" t="s">
        <v>62</v>
      </c>
      <c r="G594" s="94">
        <v>1</v>
      </c>
      <c r="H594" s="94">
        <v>3.65</v>
      </c>
      <c r="I594" s="90">
        <f>ROUND(G594*H594,2)</f>
        <v>3.65</v>
      </c>
    </row>
    <row r="595" spans="2:9" ht="18" customHeight="1" x14ac:dyDescent="0.25">
      <c r="B595" s="506" t="s">
        <v>60</v>
      </c>
      <c r="C595" s="507"/>
      <c r="D595" s="507"/>
      <c r="E595" s="507"/>
      <c r="F595" s="507"/>
      <c r="G595" s="507"/>
      <c r="H595" s="507"/>
      <c r="I595" s="91">
        <f>SUM(I594)</f>
        <v>3.65</v>
      </c>
    </row>
    <row r="596" spans="2:9" ht="18" customHeight="1" x14ac:dyDescent="0.25">
      <c r="B596" s="508"/>
      <c r="C596" s="509"/>
      <c r="D596" s="509"/>
      <c r="E596" s="509"/>
      <c r="F596" s="509"/>
      <c r="G596" s="509"/>
      <c r="H596" s="509"/>
      <c r="I596" s="510"/>
    </row>
    <row r="597" spans="2:9" ht="18" customHeight="1" x14ac:dyDescent="0.25">
      <c r="B597" s="511" t="s">
        <v>54</v>
      </c>
      <c r="C597" s="512"/>
      <c r="D597" s="512"/>
      <c r="E597" s="512"/>
      <c r="F597" s="512"/>
      <c r="G597" s="512"/>
      <c r="H597" s="512"/>
      <c r="I597" s="92">
        <f>I592+I595</f>
        <v>4.91</v>
      </c>
    </row>
    <row r="598" spans="2:9" ht="18" customHeight="1" x14ac:dyDescent="0.25">
      <c r="B598" s="511" t="s">
        <v>55</v>
      </c>
      <c r="C598" s="512"/>
      <c r="D598" s="512"/>
      <c r="E598" s="512"/>
      <c r="F598" s="512"/>
      <c r="G598" s="512"/>
      <c r="H598" s="512"/>
      <c r="I598" s="92">
        <f>ROUND(I592*$D$14,2)</f>
        <v>1.1299999999999999</v>
      </c>
    </row>
    <row r="599" spans="2:9" ht="18" customHeight="1" x14ac:dyDescent="0.25">
      <c r="B599" s="513" t="s">
        <v>56</v>
      </c>
      <c r="C599" s="514"/>
      <c r="D599" s="514"/>
      <c r="E599" s="514"/>
      <c r="F599" s="514"/>
      <c r="G599" s="514"/>
      <c r="H599" s="514"/>
      <c r="I599" s="93">
        <f>I597+I598</f>
        <v>6.04</v>
      </c>
    </row>
    <row r="600" spans="2:9" ht="18" customHeight="1" x14ac:dyDescent="0.25">
      <c r="B600" s="202"/>
      <c r="C600" s="203"/>
      <c r="D600" s="203"/>
      <c r="E600" s="203"/>
      <c r="F600" s="203"/>
      <c r="G600" s="203"/>
      <c r="H600" s="203"/>
      <c r="I600" s="215"/>
    </row>
    <row r="601" spans="2:9" ht="18" customHeight="1" x14ac:dyDescent="0.25">
      <c r="B601" s="515" t="s">
        <v>136</v>
      </c>
      <c r="C601" s="516"/>
      <c r="D601" s="516"/>
      <c r="E601" s="516"/>
      <c r="F601" s="516"/>
      <c r="G601" s="516"/>
      <c r="H601" s="516"/>
      <c r="I601" s="517"/>
    </row>
    <row r="602" spans="2:9" ht="18" customHeight="1" x14ac:dyDescent="0.25">
      <c r="B602" s="518" t="s">
        <v>57</v>
      </c>
      <c r="C602" s="519"/>
      <c r="D602" s="83">
        <f>I614</f>
        <v>46.510000000000005</v>
      </c>
      <c r="E602" s="84"/>
      <c r="F602" s="84"/>
      <c r="G602" s="85"/>
      <c r="H602" s="85"/>
      <c r="I602" s="86" t="s">
        <v>63</v>
      </c>
    </row>
    <row r="603" spans="2:9" ht="18" customHeight="1" x14ac:dyDescent="0.25">
      <c r="B603" s="520"/>
      <c r="C603" s="521"/>
      <c r="D603" s="521"/>
      <c r="E603" s="521"/>
      <c r="F603" s="521"/>
      <c r="G603" s="521"/>
      <c r="H603" s="521"/>
      <c r="I603" s="522"/>
    </row>
    <row r="604" spans="2:9" ht="18" customHeight="1" x14ac:dyDescent="0.25">
      <c r="B604" s="87" t="s">
        <v>44</v>
      </c>
      <c r="C604" s="88" t="s">
        <v>45</v>
      </c>
      <c r="D604" s="88"/>
      <c r="E604" s="88"/>
      <c r="F604" s="88" t="s">
        <v>46</v>
      </c>
      <c r="G604" s="88" t="s">
        <v>47</v>
      </c>
      <c r="H604" s="88" t="s">
        <v>48</v>
      </c>
      <c r="I604" s="89" t="s">
        <v>49</v>
      </c>
    </row>
    <row r="605" spans="2:9" ht="18" customHeight="1" x14ac:dyDescent="0.25">
      <c r="B605" s="523" t="s">
        <v>50</v>
      </c>
      <c r="C605" s="524"/>
      <c r="D605" s="524"/>
      <c r="E605" s="524"/>
      <c r="F605" s="524"/>
      <c r="G605" s="524"/>
      <c r="H605" s="524"/>
      <c r="I605" s="525"/>
    </row>
    <row r="606" spans="2:9" ht="18" customHeight="1" x14ac:dyDescent="0.25">
      <c r="B606" s="204" t="s">
        <v>81</v>
      </c>
      <c r="C606" s="201" t="s">
        <v>61</v>
      </c>
      <c r="D606" s="139"/>
      <c r="E606" s="140"/>
      <c r="F606" s="205" t="s">
        <v>51</v>
      </c>
      <c r="G606" s="94">
        <v>0.5</v>
      </c>
      <c r="H606" s="94">
        <f>9/1.8946</f>
        <v>4.7503430803335798</v>
      </c>
      <c r="I606" s="90">
        <f>ROUND(G606*H606,2)</f>
        <v>2.38</v>
      </c>
    </row>
    <row r="607" spans="2:9" ht="18" customHeight="1" x14ac:dyDescent="0.25">
      <c r="B607" s="506" t="s">
        <v>53</v>
      </c>
      <c r="C607" s="507"/>
      <c r="D607" s="507"/>
      <c r="E607" s="507"/>
      <c r="F607" s="507"/>
      <c r="G607" s="507"/>
      <c r="H607" s="507"/>
      <c r="I607" s="91">
        <f>SUM(I606:I606)</f>
        <v>2.38</v>
      </c>
    </row>
    <row r="608" spans="2:9" ht="18" customHeight="1" x14ac:dyDescent="0.25">
      <c r="B608" s="523" t="s">
        <v>59</v>
      </c>
      <c r="C608" s="524"/>
      <c r="D608" s="524"/>
      <c r="E608" s="524"/>
      <c r="F608" s="524"/>
      <c r="G608" s="524"/>
      <c r="H608" s="524"/>
      <c r="I608" s="525"/>
    </row>
    <row r="609" spans="2:9" ht="18" customHeight="1" x14ac:dyDescent="0.25">
      <c r="B609" s="204" t="s">
        <v>137</v>
      </c>
      <c r="C609" s="200" t="s">
        <v>202</v>
      </c>
      <c r="D609" s="201"/>
      <c r="E609" s="140"/>
      <c r="F609" s="205" t="s">
        <v>62</v>
      </c>
      <c r="G609" s="94">
        <v>1</v>
      </c>
      <c r="H609" s="94">
        <v>42</v>
      </c>
      <c r="I609" s="90">
        <f>ROUND(G609*H609,2)</f>
        <v>42</v>
      </c>
    </row>
    <row r="610" spans="2:9" ht="18" customHeight="1" x14ac:dyDescent="0.25">
      <c r="B610" s="506" t="s">
        <v>60</v>
      </c>
      <c r="C610" s="507"/>
      <c r="D610" s="507"/>
      <c r="E610" s="507"/>
      <c r="F610" s="507"/>
      <c r="G610" s="507"/>
      <c r="H610" s="507"/>
      <c r="I610" s="91">
        <f>SUM(I609)</f>
        <v>42</v>
      </c>
    </row>
    <row r="611" spans="2:9" ht="18" customHeight="1" x14ac:dyDescent="0.25">
      <c r="B611" s="508"/>
      <c r="C611" s="509"/>
      <c r="D611" s="509"/>
      <c r="E611" s="509"/>
      <c r="F611" s="509"/>
      <c r="G611" s="509"/>
      <c r="H611" s="509"/>
      <c r="I611" s="510"/>
    </row>
    <row r="612" spans="2:9" ht="18" customHeight="1" x14ac:dyDescent="0.25">
      <c r="B612" s="511" t="s">
        <v>54</v>
      </c>
      <c r="C612" s="512"/>
      <c r="D612" s="512"/>
      <c r="E612" s="512"/>
      <c r="F612" s="512"/>
      <c r="G612" s="512"/>
      <c r="H612" s="512"/>
      <c r="I612" s="92">
        <f>I607+I610</f>
        <v>44.38</v>
      </c>
    </row>
    <row r="613" spans="2:9" ht="18" customHeight="1" x14ac:dyDescent="0.25">
      <c r="B613" s="511" t="s">
        <v>55</v>
      </c>
      <c r="C613" s="512"/>
      <c r="D613" s="512"/>
      <c r="E613" s="512"/>
      <c r="F613" s="512"/>
      <c r="G613" s="512"/>
      <c r="H613" s="512"/>
      <c r="I613" s="92">
        <f>ROUND(I607*$D$14,2)</f>
        <v>2.13</v>
      </c>
    </row>
    <row r="614" spans="2:9" ht="18" customHeight="1" x14ac:dyDescent="0.25">
      <c r="B614" s="513" t="s">
        <v>56</v>
      </c>
      <c r="C614" s="514"/>
      <c r="D614" s="514"/>
      <c r="E614" s="514"/>
      <c r="F614" s="514"/>
      <c r="G614" s="514"/>
      <c r="H614" s="514"/>
      <c r="I614" s="93">
        <f>I612+I613</f>
        <v>46.510000000000005</v>
      </c>
    </row>
    <row r="615" spans="2:9" ht="18" customHeight="1" x14ac:dyDescent="0.25">
      <c r="B615" s="274"/>
      <c r="C615" s="275"/>
      <c r="D615" s="275"/>
      <c r="E615" s="275"/>
      <c r="F615" s="275"/>
      <c r="G615" s="275"/>
      <c r="H615" s="275"/>
      <c r="I615" s="215"/>
    </row>
    <row r="616" spans="2:9" ht="18" customHeight="1" x14ac:dyDescent="0.25">
      <c r="B616" s="515" t="s">
        <v>203</v>
      </c>
      <c r="C616" s="516"/>
      <c r="D616" s="516"/>
      <c r="E616" s="516"/>
      <c r="F616" s="516"/>
      <c r="G616" s="516"/>
      <c r="H616" s="516"/>
      <c r="I616" s="517"/>
    </row>
    <row r="617" spans="2:9" ht="18" customHeight="1" x14ac:dyDescent="0.25">
      <c r="B617" s="518" t="s">
        <v>57</v>
      </c>
      <c r="C617" s="519"/>
      <c r="D617" s="83">
        <f>I631</f>
        <v>118.44</v>
      </c>
      <c r="E617" s="84"/>
      <c r="F617" s="84"/>
      <c r="G617" s="85"/>
      <c r="H617" s="85"/>
      <c r="I617" s="86" t="s">
        <v>63</v>
      </c>
    </row>
    <row r="618" spans="2:9" ht="18" customHeight="1" x14ac:dyDescent="0.25">
      <c r="B618" s="520"/>
      <c r="C618" s="521"/>
      <c r="D618" s="521"/>
      <c r="E618" s="521"/>
      <c r="F618" s="521"/>
      <c r="G618" s="521"/>
      <c r="H618" s="521"/>
      <c r="I618" s="522"/>
    </row>
    <row r="619" spans="2:9" ht="18" customHeight="1" x14ac:dyDescent="0.25">
      <c r="B619" s="87" t="s">
        <v>44</v>
      </c>
      <c r="C619" s="88" t="s">
        <v>45</v>
      </c>
      <c r="D619" s="88"/>
      <c r="E619" s="88"/>
      <c r="F619" s="88" t="s">
        <v>46</v>
      </c>
      <c r="G619" s="88" t="s">
        <v>47</v>
      </c>
      <c r="H619" s="88" t="s">
        <v>48</v>
      </c>
      <c r="I619" s="89" t="s">
        <v>49</v>
      </c>
    </row>
    <row r="620" spans="2:9" ht="18" customHeight="1" x14ac:dyDescent="0.25">
      <c r="B620" s="523" t="s">
        <v>50</v>
      </c>
      <c r="C620" s="524"/>
      <c r="D620" s="524"/>
      <c r="E620" s="524"/>
      <c r="F620" s="524"/>
      <c r="G620" s="524"/>
      <c r="H620" s="524"/>
      <c r="I620" s="525"/>
    </row>
    <row r="621" spans="2:9" ht="18" customHeight="1" x14ac:dyDescent="0.25">
      <c r="B621" s="204" t="s">
        <v>81</v>
      </c>
      <c r="C621" s="201" t="s">
        <v>61</v>
      </c>
      <c r="D621" s="139"/>
      <c r="E621" s="140"/>
      <c r="F621" s="205" t="s">
        <v>51</v>
      </c>
      <c r="G621" s="94">
        <v>1</v>
      </c>
      <c r="H621" s="94">
        <f>9/1.8946</f>
        <v>4.7503430803335798</v>
      </c>
      <c r="I621" s="90">
        <f>ROUND(G621*H621,2)</f>
        <v>4.75</v>
      </c>
    </row>
    <row r="622" spans="2:9" ht="18" customHeight="1" x14ac:dyDescent="0.25">
      <c r="B622" s="204" t="s">
        <v>80</v>
      </c>
      <c r="C622" s="201" t="s">
        <v>52</v>
      </c>
      <c r="D622" s="139"/>
      <c r="E622" s="140"/>
      <c r="F622" s="205" t="s">
        <v>51</v>
      </c>
      <c r="G622" s="94">
        <v>1</v>
      </c>
      <c r="H622" s="94">
        <f>6.33/1.8946</f>
        <v>3.3410746331679508</v>
      </c>
      <c r="I622" s="90">
        <f>ROUND(G622*H622,2)</f>
        <v>3.34</v>
      </c>
    </row>
    <row r="623" spans="2:9" ht="18" customHeight="1" x14ac:dyDescent="0.25">
      <c r="B623" s="506" t="s">
        <v>53</v>
      </c>
      <c r="C623" s="507"/>
      <c r="D623" s="507"/>
      <c r="E623" s="507"/>
      <c r="F623" s="507"/>
      <c r="G623" s="507"/>
      <c r="H623" s="507"/>
      <c r="I623" s="91">
        <f>SUM(I621:I622)</f>
        <v>8.09</v>
      </c>
    </row>
    <row r="624" spans="2:9" ht="18" customHeight="1" x14ac:dyDescent="0.25">
      <c r="B624" s="523" t="s">
        <v>59</v>
      </c>
      <c r="C624" s="524"/>
      <c r="D624" s="524"/>
      <c r="E624" s="524"/>
      <c r="F624" s="524"/>
      <c r="G624" s="524"/>
      <c r="H624" s="524"/>
      <c r="I624" s="525"/>
    </row>
    <row r="625" spans="2:9" ht="18" customHeight="1" x14ac:dyDescent="0.25">
      <c r="B625" s="204" t="s">
        <v>204</v>
      </c>
      <c r="C625" s="505" t="s">
        <v>205</v>
      </c>
      <c r="D625" s="505"/>
      <c r="E625" s="505"/>
      <c r="F625" s="205" t="s">
        <v>62</v>
      </c>
      <c r="G625" s="94">
        <v>1</v>
      </c>
      <c r="H625" s="94">
        <v>14.65</v>
      </c>
      <c r="I625" s="90">
        <f>ROUND(G625*H625,2)</f>
        <v>14.65</v>
      </c>
    </row>
    <row r="626" spans="2:9" ht="18" customHeight="1" x14ac:dyDescent="0.25">
      <c r="B626" s="204" t="s">
        <v>206</v>
      </c>
      <c r="C626" s="505" t="s">
        <v>207</v>
      </c>
      <c r="D626" s="505"/>
      <c r="E626" s="505"/>
      <c r="F626" s="205" t="s">
        <v>62</v>
      </c>
      <c r="G626" s="94">
        <v>1</v>
      </c>
      <c r="H626" s="94">
        <v>88.46</v>
      </c>
      <c r="I626" s="90">
        <f>ROUND(G626*H626,2)</f>
        <v>88.46</v>
      </c>
    </row>
    <row r="627" spans="2:9" ht="18" customHeight="1" x14ac:dyDescent="0.25">
      <c r="B627" s="506" t="s">
        <v>60</v>
      </c>
      <c r="C627" s="507"/>
      <c r="D627" s="507"/>
      <c r="E627" s="507"/>
      <c r="F627" s="507"/>
      <c r="G627" s="507"/>
      <c r="H627" s="507"/>
      <c r="I627" s="91">
        <f>SUM(I625:I626)</f>
        <v>103.11</v>
      </c>
    </row>
    <row r="628" spans="2:9" ht="18" customHeight="1" x14ac:dyDescent="0.25">
      <c r="B628" s="508"/>
      <c r="C628" s="509"/>
      <c r="D628" s="509"/>
      <c r="E628" s="509"/>
      <c r="F628" s="509"/>
      <c r="G628" s="509"/>
      <c r="H628" s="509"/>
      <c r="I628" s="510"/>
    </row>
    <row r="629" spans="2:9" ht="18" customHeight="1" x14ac:dyDescent="0.25">
      <c r="B629" s="511" t="s">
        <v>54</v>
      </c>
      <c r="C629" s="512"/>
      <c r="D629" s="512"/>
      <c r="E629" s="512"/>
      <c r="F629" s="512"/>
      <c r="G629" s="512"/>
      <c r="H629" s="512"/>
      <c r="I629" s="92">
        <f>I623+I627</f>
        <v>111.2</v>
      </c>
    </row>
    <row r="630" spans="2:9" ht="18" customHeight="1" x14ac:dyDescent="0.25">
      <c r="B630" s="511" t="s">
        <v>55</v>
      </c>
      <c r="C630" s="512"/>
      <c r="D630" s="512"/>
      <c r="E630" s="512"/>
      <c r="F630" s="512"/>
      <c r="G630" s="512"/>
      <c r="H630" s="512"/>
      <c r="I630" s="92">
        <f>ROUND(I623*$D$14,2)</f>
        <v>7.24</v>
      </c>
    </row>
    <row r="631" spans="2:9" ht="18" customHeight="1" x14ac:dyDescent="0.25">
      <c r="B631" s="513" t="s">
        <v>56</v>
      </c>
      <c r="C631" s="514"/>
      <c r="D631" s="514"/>
      <c r="E631" s="514"/>
      <c r="F631" s="514"/>
      <c r="G631" s="514"/>
      <c r="H631" s="514"/>
      <c r="I631" s="93">
        <f>I629+I630</f>
        <v>118.44</v>
      </c>
    </row>
    <row r="632" spans="2:9" ht="18" customHeight="1" x14ac:dyDescent="0.25">
      <c r="B632" s="274"/>
      <c r="C632" s="275"/>
      <c r="D632" s="275"/>
      <c r="E632" s="275"/>
      <c r="F632" s="275"/>
      <c r="G632" s="275"/>
      <c r="H632" s="275"/>
      <c r="I632" s="215"/>
    </row>
  </sheetData>
  <mergeCells count="586">
    <mergeCell ref="H191:I191"/>
    <mergeCell ref="C147:E147"/>
    <mergeCell ref="C146:E146"/>
    <mergeCell ref="C149:E149"/>
    <mergeCell ref="C148:E148"/>
    <mergeCell ref="C150:E150"/>
    <mergeCell ref="C151:E151"/>
    <mergeCell ref="C152:E152"/>
    <mergeCell ref="C153:E153"/>
    <mergeCell ref="C154:E154"/>
    <mergeCell ref="B157:H157"/>
    <mergeCell ref="B158:H158"/>
    <mergeCell ref="B160:G160"/>
    <mergeCell ref="H160:I160"/>
    <mergeCell ref="B161:C161"/>
    <mergeCell ref="B162:I162"/>
    <mergeCell ref="B164:G164"/>
    <mergeCell ref="H164:I164"/>
    <mergeCell ref="C169:E169"/>
    <mergeCell ref="C165:E165"/>
    <mergeCell ref="C166:E166"/>
    <mergeCell ref="C167:E167"/>
    <mergeCell ref="C168:E168"/>
    <mergeCell ref="B155:H155"/>
    <mergeCell ref="B199:H199"/>
    <mergeCell ref="B200:H200"/>
    <mergeCell ref="C193:E193"/>
    <mergeCell ref="B194:H194"/>
    <mergeCell ref="B195:G195"/>
    <mergeCell ref="H195:I195"/>
    <mergeCell ref="C196:E196"/>
    <mergeCell ref="B197:H197"/>
    <mergeCell ref="B198:G198"/>
    <mergeCell ref="H198:I198"/>
    <mergeCell ref="C192:E192"/>
    <mergeCell ref="C178:E178"/>
    <mergeCell ref="B170:H170"/>
    <mergeCell ref="B171:G171"/>
    <mergeCell ref="H171:I171"/>
    <mergeCell ref="C172:E172"/>
    <mergeCell ref="B182:H182"/>
    <mergeCell ref="B183:G183"/>
    <mergeCell ref="H183:I183"/>
    <mergeCell ref="C173:E173"/>
    <mergeCell ref="C174:E174"/>
    <mergeCell ref="C175:E175"/>
    <mergeCell ref="C176:E176"/>
    <mergeCell ref="C177:E177"/>
    <mergeCell ref="C179:E179"/>
    <mergeCell ref="C180:E180"/>
    <mergeCell ref="C181:E181"/>
    <mergeCell ref="B184:H184"/>
    <mergeCell ref="B185:H185"/>
    <mergeCell ref="B187:G187"/>
    <mergeCell ref="H187:I187"/>
    <mergeCell ref="B188:C188"/>
    <mergeCell ref="B189:I189"/>
    <mergeCell ref="B191:G191"/>
    <mergeCell ref="B156:G156"/>
    <mergeCell ref="H156:I156"/>
    <mergeCell ref="B126:H126"/>
    <mergeCell ref="B128:G128"/>
    <mergeCell ref="H128:I128"/>
    <mergeCell ref="B129:C129"/>
    <mergeCell ref="B130:I130"/>
    <mergeCell ref="B132:G132"/>
    <mergeCell ref="H132:I132"/>
    <mergeCell ref="C133:E133"/>
    <mergeCell ref="C134:E134"/>
    <mergeCell ref="C135:E135"/>
    <mergeCell ref="C136:E136"/>
    <mergeCell ref="C137:E137"/>
    <mergeCell ref="C141:E141"/>
    <mergeCell ref="C142:E142"/>
    <mergeCell ref="C143:E143"/>
    <mergeCell ref="C144:E144"/>
    <mergeCell ref="C145:E145"/>
    <mergeCell ref="B138:H138"/>
    <mergeCell ref="B139:G139"/>
    <mergeCell ref="H139:I139"/>
    <mergeCell ref="C140:E140"/>
    <mergeCell ref="B120:G120"/>
    <mergeCell ref="H120:I120"/>
    <mergeCell ref="C121:E121"/>
    <mergeCell ref="C122:E122"/>
    <mergeCell ref="B123:H123"/>
    <mergeCell ref="B124:G124"/>
    <mergeCell ref="H124:I124"/>
    <mergeCell ref="B125:H125"/>
    <mergeCell ref="B112:G112"/>
    <mergeCell ref="H112:I112"/>
    <mergeCell ref="B113:C113"/>
    <mergeCell ref="B114:I114"/>
    <mergeCell ref="B116:G116"/>
    <mergeCell ref="H116:I116"/>
    <mergeCell ref="C117:E117"/>
    <mergeCell ref="C118:E118"/>
    <mergeCell ref="B119:H119"/>
    <mergeCell ref="B107:H107"/>
    <mergeCell ref="B108:G108"/>
    <mergeCell ref="H108:I108"/>
    <mergeCell ref="B109:H109"/>
    <mergeCell ref="B110:H110"/>
    <mergeCell ref="B99:C99"/>
    <mergeCell ref="B100:I100"/>
    <mergeCell ref="B102:G102"/>
    <mergeCell ref="H102:I102"/>
    <mergeCell ref="C103:E103"/>
    <mergeCell ref="C106:E106"/>
    <mergeCell ref="B104:H104"/>
    <mergeCell ref="B105:G105"/>
    <mergeCell ref="H105:I105"/>
    <mergeCell ref="B630:H630"/>
    <mergeCell ref="B631:H631"/>
    <mergeCell ref="C625:E625"/>
    <mergeCell ref="C626:E626"/>
    <mergeCell ref="B627:H627"/>
    <mergeCell ref="B628:G628"/>
    <mergeCell ref="H628:I628"/>
    <mergeCell ref="B629:H629"/>
    <mergeCell ref="B618:I618"/>
    <mergeCell ref="B620:G620"/>
    <mergeCell ref="H620:I620"/>
    <mergeCell ref="B623:H623"/>
    <mergeCell ref="B624:G624"/>
    <mergeCell ref="H624:I624"/>
    <mergeCell ref="B612:H612"/>
    <mergeCell ref="B613:H613"/>
    <mergeCell ref="B614:H614"/>
    <mergeCell ref="B616:G616"/>
    <mergeCell ref="H616:I616"/>
    <mergeCell ref="B617:C617"/>
    <mergeCell ref="B607:H607"/>
    <mergeCell ref="B608:G608"/>
    <mergeCell ref="H608:I608"/>
    <mergeCell ref="B610:H610"/>
    <mergeCell ref="B611:G611"/>
    <mergeCell ref="H611:I611"/>
    <mergeCell ref="B601:G601"/>
    <mergeCell ref="H601:I601"/>
    <mergeCell ref="B602:C602"/>
    <mergeCell ref="B603:I603"/>
    <mergeCell ref="B605:G605"/>
    <mergeCell ref="H605:I605"/>
    <mergeCell ref="B595:H595"/>
    <mergeCell ref="B596:G596"/>
    <mergeCell ref="H596:I596"/>
    <mergeCell ref="B597:H597"/>
    <mergeCell ref="B598:H598"/>
    <mergeCell ref="B599:H599"/>
    <mergeCell ref="B587:I587"/>
    <mergeCell ref="B589:G589"/>
    <mergeCell ref="H589:I589"/>
    <mergeCell ref="B592:H592"/>
    <mergeCell ref="B593:G593"/>
    <mergeCell ref="H593:I593"/>
    <mergeCell ref="B580:H580"/>
    <mergeCell ref="B581:H581"/>
    <mergeCell ref="B582:H582"/>
    <mergeCell ref="B585:G585"/>
    <mergeCell ref="H585:I585"/>
    <mergeCell ref="B586:C586"/>
    <mergeCell ref="C571:E571"/>
    <mergeCell ref="C572:E572"/>
    <mergeCell ref="C577:D577"/>
    <mergeCell ref="B578:H578"/>
    <mergeCell ref="B579:G579"/>
    <mergeCell ref="H579:I579"/>
    <mergeCell ref="B563:I563"/>
    <mergeCell ref="B565:G565"/>
    <mergeCell ref="H565:I565"/>
    <mergeCell ref="B569:H569"/>
    <mergeCell ref="B570:G570"/>
    <mergeCell ref="H570:I570"/>
    <mergeCell ref="B557:H557"/>
    <mergeCell ref="B558:H558"/>
    <mergeCell ref="B559:H559"/>
    <mergeCell ref="B561:G561"/>
    <mergeCell ref="H561:I561"/>
    <mergeCell ref="B562:C562"/>
    <mergeCell ref="C548:E548"/>
    <mergeCell ref="C550:D550"/>
    <mergeCell ref="C551:E551"/>
    <mergeCell ref="C554:E554"/>
    <mergeCell ref="B555:H555"/>
    <mergeCell ref="B556:G556"/>
    <mergeCell ref="H556:I556"/>
    <mergeCell ref="B540:I540"/>
    <mergeCell ref="B542:G542"/>
    <mergeCell ref="H542:I542"/>
    <mergeCell ref="B546:H546"/>
    <mergeCell ref="B547:G547"/>
    <mergeCell ref="H547:I547"/>
    <mergeCell ref="B534:H534"/>
    <mergeCell ref="B535:H535"/>
    <mergeCell ref="B536:H536"/>
    <mergeCell ref="B538:G538"/>
    <mergeCell ref="H538:I538"/>
    <mergeCell ref="B539:C539"/>
    <mergeCell ref="C525:E525"/>
    <mergeCell ref="C527:D527"/>
    <mergeCell ref="C528:E528"/>
    <mergeCell ref="C531:E531"/>
    <mergeCell ref="B532:H532"/>
    <mergeCell ref="B533:G533"/>
    <mergeCell ref="H533:I533"/>
    <mergeCell ref="B517:I517"/>
    <mergeCell ref="B519:G519"/>
    <mergeCell ref="H519:I519"/>
    <mergeCell ref="B523:H523"/>
    <mergeCell ref="B524:G524"/>
    <mergeCell ref="H524:I524"/>
    <mergeCell ref="B511:H511"/>
    <mergeCell ref="B512:H512"/>
    <mergeCell ref="B513:H513"/>
    <mergeCell ref="B515:G515"/>
    <mergeCell ref="H515:I515"/>
    <mergeCell ref="B516:C516"/>
    <mergeCell ref="C502:E502"/>
    <mergeCell ref="C504:D504"/>
    <mergeCell ref="C505:E505"/>
    <mergeCell ref="C508:E508"/>
    <mergeCell ref="B509:H509"/>
    <mergeCell ref="B510:G510"/>
    <mergeCell ref="H510:I510"/>
    <mergeCell ref="B493:C493"/>
    <mergeCell ref="B494:I494"/>
    <mergeCell ref="B496:G496"/>
    <mergeCell ref="H496:I496"/>
    <mergeCell ref="B500:H500"/>
    <mergeCell ref="B501:G501"/>
    <mergeCell ref="H501:I501"/>
    <mergeCell ref="B488:H488"/>
    <mergeCell ref="B489:H489"/>
    <mergeCell ref="B490:H490"/>
    <mergeCell ref="B491:H491"/>
    <mergeCell ref="B492:G492"/>
    <mergeCell ref="H492:I492"/>
    <mergeCell ref="C479:E479"/>
    <mergeCell ref="C481:D481"/>
    <mergeCell ref="C482:E482"/>
    <mergeCell ref="C485:E485"/>
    <mergeCell ref="B486:H486"/>
    <mergeCell ref="B487:G487"/>
    <mergeCell ref="H487:I487"/>
    <mergeCell ref="B471:I471"/>
    <mergeCell ref="B473:G473"/>
    <mergeCell ref="H473:I473"/>
    <mergeCell ref="B477:H477"/>
    <mergeCell ref="B478:G478"/>
    <mergeCell ref="H478:I478"/>
    <mergeCell ref="B465:H465"/>
    <mergeCell ref="B466:H466"/>
    <mergeCell ref="B467:H467"/>
    <mergeCell ref="B469:G469"/>
    <mergeCell ref="H469:I469"/>
    <mergeCell ref="B470:C470"/>
    <mergeCell ref="C457:E457"/>
    <mergeCell ref="C459:D459"/>
    <mergeCell ref="C462:E462"/>
    <mergeCell ref="B463:H463"/>
    <mergeCell ref="B464:G464"/>
    <mergeCell ref="H464:I464"/>
    <mergeCell ref="B449:C449"/>
    <mergeCell ref="B450:I450"/>
    <mergeCell ref="B452:G452"/>
    <mergeCell ref="H452:I452"/>
    <mergeCell ref="B455:H455"/>
    <mergeCell ref="B456:G456"/>
    <mergeCell ref="H456:I456"/>
    <mergeCell ref="B443:G443"/>
    <mergeCell ref="H443:I443"/>
    <mergeCell ref="B444:H444"/>
    <mergeCell ref="B445:H445"/>
    <mergeCell ref="B446:H446"/>
    <mergeCell ref="B448:G448"/>
    <mergeCell ref="H448:I448"/>
    <mergeCell ref="B434:H434"/>
    <mergeCell ref="B435:G435"/>
    <mergeCell ref="H435:I435"/>
    <mergeCell ref="C438:D438"/>
    <mergeCell ref="C440:D440"/>
    <mergeCell ref="B442:H442"/>
    <mergeCell ref="B424:H424"/>
    <mergeCell ref="B426:G426"/>
    <mergeCell ref="H426:I426"/>
    <mergeCell ref="B427:C427"/>
    <mergeCell ref="B428:I428"/>
    <mergeCell ref="B430:G430"/>
    <mergeCell ref="H430:I430"/>
    <mergeCell ref="C418:E418"/>
    <mergeCell ref="B420:H420"/>
    <mergeCell ref="B421:G421"/>
    <mergeCell ref="H421:I421"/>
    <mergeCell ref="B422:H422"/>
    <mergeCell ref="B423:H423"/>
    <mergeCell ref="B411:G411"/>
    <mergeCell ref="H411:I411"/>
    <mergeCell ref="B414:H414"/>
    <mergeCell ref="B415:G415"/>
    <mergeCell ref="H415:I415"/>
    <mergeCell ref="C417:D417"/>
    <mergeCell ref="B404:H404"/>
    <mergeCell ref="B405:H405"/>
    <mergeCell ref="B407:G407"/>
    <mergeCell ref="H407:I407"/>
    <mergeCell ref="B408:C408"/>
    <mergeCell ref="B409:I409"/>
    <mergeCell ref="C399:E399"/>
    <mergeCell ref="C400:E400"/>
    <mergeCell ref="B401:H401"/>
    <mergeCell ref="B402:G402"/>
    <mergeCell ref="H402:I402"/>
    <mergeCell ref="B403:H403"/>
    <mergeCell ref="B391:C391"/>
    <mergeCell ref="B392:I392"/>
    <mergeCell ref="B394:G394"/>
    <mergeCell ref="H394:I394"/>
    <mergeCell ref="B397:H397"/>
    <mergeCell ref="B398:G398"/>
    <mergeCell ref="H398:I398"/>
    <mergeCell ref="C224:E224"/>
    <mergeCell ref="B225:H225"/>
    <mergeCell ref="B229:G229"/>
    <mergeCell ref="H229:I229"/>
    <mergeCell ref="B373:H373"/>
    <mergeCell ref="B374:G374"/>
    <mergeCell ref="H374:I374"/>
    <mergeCell ref="C379:E379"/>
    <mergeCell ref="B297:H297"/>
    <mergeCell ref="B298:H298"/>
    <mergeCell ref="B299:H299"/>
    <mergeCell ref="B305:G305"/>
    <mergeCell ref="H305:I305"/>
    <mergeCell ref="H386:I386"/>
    <mergeCell ref="B363:G363"/>
    <mergeCell ref="H363:I363"/>
    <mergeCell ref="B364:C364"/>
    <mergeCell ref="B390:G390"/>
    <mergeCell ref="H390:I390"/>
    <mergeCell ref="B218:G218"/>
    <mergeCell ref="H218:I218"/>
    <mergeCell ref="B219:C219"/>
    <mergeCell ref="B220:I220"/>
    <mergeCell ref="B222:G222"/>
    <mergeCell ref="C223:E223"/>
    <mergeCell ref="H222:I222"/>
    <mergeCell ref="B385:H385"/>
    <mergeCell ref="B386:G386"/>
    <mergeCell ref="B226:G226"/>
    <mergeCell ref="B232:H232"/>
    <mergeCell ref="H226:I226"/>
    <mergeCell ref="B228:H228"/>
    <mergeCell ref="C227:E227"/>
    <mergeCell ref="B230:H230"/>
    <mergeCell ref="B367:G367"/>
    <mergeCell ref="H367:I367"/>
    <mergeCell ref="B387:H387"/>
    <mergeCell ref="B388:H388"/>
    <mergeCell ref="B389:H389"/>
    <mergeCell ref="C377:D377"/>
    <mergeCell ref="B365:I365"/>
    <mergeCell ref="B329:G329"/>
    <mergeCell ref="H329:I329"/>
    <mergeCell ref="B337:H337"/>
    <mergeCell ref="B327:I327"/>
    <mergeCell ref="B331:H331"/>
    <mergeCell ref="B332:G332"/>
    <mergeCell ref="H332:I332"/>
    <mergeCell ref="B336:H336"/>
    <mergeCell ref="B335:G335"/>
    <mergeCell ref="H335:I335"/>
    <mergeCell ref="B334:H334"/>
    <mergeCell ref="B341:C341"/>
    <mergeCell ref="B342:I342"/>
    <mergeCell ref="B340:G340"/>
    <mergeCell ref="H340:I340"/>
    <mergeCell ref="B358:G358"/>
    <mergeCell ref="H358:I358"/>
    <mergeCell ref="B344:G344"/>
    <mergeCell ref="H344:I344"/>
    <mergeCell ref="B359:H359"/>
    <mergeCell ref="H348:I348"/>
    <mergeCell ref="B357:H357"/>
    <mergeCell ref="B360:H360"/>
    <mergeCell ref="B361:H361"/>
    <mergeCell ref="B347:H347"/>
    <mergeCell ref="B326:C326"/>
    <mergeCell ref="B338:H338"/>
    <mergeCell ref="B301:G301"/>
    <mergeCell ref="H301:I301"/>
    <mergeCell ref="B302:C302"/>
    <mergeCell ref="B303:I303"/>
    <mergeCell ref="B321:H321"/>
    <mergeCell ref="B322:H322"/>
    <mergeCell ref="B310:G310"/>
    <mergeCell ref="H310:I310"/>
    <mergeCell ref="C311:E311"/>
    <mergeCell ref="C312:E312"/>
    <mergeCell ref="B318:H318"/>
    <mergeCell ref="B320:H320"/>
    <mergeCell ref="C317:E317"/>
    <mergeCell ref="B325:G325"/>
    <mergeCell ref="H325:I325"/>
    <mergeCell ref="B319:G319"/>
    <mergeCell ref="H319:I319"/>
    <mergeCell ref="B309:H309"/>
    <mergeCell ref="B348:G348"/>
    <mergeCell ref="H287:I287"/>
    <mergeCell ref="C288:E288"/>
    <mergeCell ref="C289:E289"/>
    <mergeCell ref="C294:D294"/>
    <mergeCell ref="B295:H295"/>
    <mergeCell ref="B296:G296"/>
    <mergeCell ref="H296:I296"/>
    <mergeCell ref="B276:H276"/>
    <mergeCell ref="B278:G278"/>
    <mergeCell ref="H278:I278"/>
    <mergeCell ref="B279:C279"/>
    <mergeCell ref="B280:I280"/>
    <mergeCell ref="B282:G282"/>
    <mergeCell ref="H282:I282"/>
    <mergeCell ref="B286:H286"/>
    <mergeCell ref="B287:G287"/>
    <mergeCell ref="C271:E271"/>
    <mergeCell ref="B272:H272"/>
    <mergeCell ref="B273:G273"/>
    <mergeCell ref="H273:I273"/>
    <mergeCell ref="B274:H274"/>
    <mergeCell ref="B275:H275"/>
    <mergeCell ref="B263:H263"/>
    <mergeCell ref="B264:G264"/>
    <mergeCell ref="H264:I264"/>
    <mergeCell ref="C265:E265"/>
    <mergeCell ref="C267:D267"/>
    <mergeCell ref="C268:E268"/>
    <mergeCell ref="B255:G255"/>
    <mergeCell ref="H255:I255"/>
    <mergeCell ref="B256:C256"/>
    <mergeCell ref="B257:I257"/>
    <mergeCell ref="B259:G259"/>
    <mergeCell ref="H259:I259"/>
    <mergeCell ref="B249:H249"/>
    <mergeCell ref="B250:G250"/>
    <mergeCell ref="H250:I250"/>
    <mergeCell ref="B251:H251"/>
    <mergeCell ref="B252:H252"/>
    <mergeCell ref="B253:H253"/>
    <mergeCell ref="B241:H241"/>
    <mergeCell ref="B242:G242"/>
    <mergeCell ref="H242:I242"/>
    <mergeCell ref="C243:E243"/>
    <mergeCell ref="C248:E248"/>
    <mergeCell ref="B234:G234"/>
    <mergeCell ref="H234:I234"/>
    <mergeCell ref="B235:C235"/>
    <mergeCell ref="B236:I236"/>
    <mergeCell ref="C246:E246"/>
    <mergeCell ref="B231:H231"/>
    <mergeCell ref="C39:E39"/>
    <mergeCell ref="B33:G33"/>
    <mergeCell ref="B238:G238"/>
    <mergeCell ref="H238:I238"/>
    <mergeCell ref="B47:H47"/>
    <mergeCell ref="H41:I41"/>
    <mergeCell ref="C42:E42"/>
    <mergeCell ref="B30:H30"/>
    <mergeCell ref="B45:G45"/>
    <mergeCell ref="H45:I45"/>
    <mergeCell ref="H33:I33"/>
    <mergeCell ref="B34:C34"/>
    <mergeCell ref="B35:I35"/>
    <mergeCell ref="B37:G37"/>
    <mergeCell ref="H37:I37"/>
    <mergeCell ref="B40:H40"/>
    <mergeCell ref="B41:G41"/>
    <mergeCell ref="B46:H46"/>
    <mergeCell ref="C43:E43"/>
    <mergeCell ref="B49:G49"/>
    <mergeCell ref="H49:I49"/>
    <mergeCell ref="B98:G98"/>
    <mergeCell ref="H98:I98"/>
    <mergeCell ref="B2:C7"/>
    <mergeCell ref="D2:J3"/>
    <mergeCell ref="D4:J5"/>
    <mergeCell ref="D6:J7"/>
    <mergeCell ref="B9:E9"/>
    <mergeCell ref="D14:E14"/>
    <mergeCell ref="F14:G14"/>
    <mergeCell ref="H14:I14"/>
    <mergeCell ref="F9:J9"/>
    <mergeCell ref="C26:E26"/>
    <mergeCell ref="C27:E27"/>
    <mergeCell ref="B28:H28"/>
    <mergeCell ref="B29:G29"/>
    <mergeCell ref="B10:E10"/>
    <mergeCell ref="F10:I10"/>
    <mergeCell ref="B14:C14"/>
    <mergeCell ref="B12:I12"/>
    <mergeCell ref="B44:H44"/>
    <mergeCell ref="B15:I15"/>
    <mergeCell ref="B16:C16"/>
    <mergeCell ref="C38:E38"/>
    <mergeCell ref="B17:I17"/>
    <mergeCell ref="B19:G19"/>
    <mergeCell ref="H19:I19"/>
    <mergeCell ref="C20:E20"/>
    <mergeCell ref="C21:E21"/>
    <mergeCell ref="C25:E25"/>
    <mergeCell ref="B22:H22"/>
    <mergeCell ref="B23:G23"/>
    <mergeCell ref="H23:I23"/>
    <mergeCell ref="C24:E24"/>
    <mergeCell ref="H29:I29"/>
    <mergeCell ref="B31:H31"/>
    <mergeCell ref="B50:C50"/>
    <mergeCell ref="B51:I51"/>
    <mergeCell ref="B53:G53"/>
    <mergeCell ref="H53:I53"/>
    <mergeCell ref="C54:E54"/>
    <mergeCell ref="C55:E55"/>
    <mergeCell ref="B56:H56"/>
    <mergeCell ref="B57:G57"/>
    <mergeCell ref="H57:I57"/>
    <mergeCell ref="C58:E58"/>
    <mergeCell ref="C59:E59"/>
    <mergeCell ref="B60:H60"/>
    <mergeCell ref="B61:G61"/>
    <mergeCell ref="H61:I61"/>
    <mergeCell ref="B62:H62"/>
    <mergeCell ref="B63:H63"/>
    <mergeCell ref="B65:G65"/>
    <mergeCell ref="H65:I65"/>
    <mergeCell ref="B66:C66"/>
    <mergeCell ref="B67:I67"/>
    <mergeCell ref="B69:G69"/>
    <mergeCell ref="H69:I69"/>
    <mergeCell ref="C70:E70"/>
    <mergeCell ref="C71:E71"/>
    <mergeCell ref="B72:H72"/>
    <mergeCell ref="B73:G73"/>
    <mergeCell ref="H73:I73"/>
    <mergeCell ref="C74:E74"/>
    <mergeCell ref="C75:E75"/>
    <mergeCell ref="B76:H76"/>
    <mergeCell ref="B77:G77"/>
    <mergeCell ref="H77:I77"/>
    <mergeCell ref="B78:H78"/>
    <mergeCell ref="B79:H79"/>
    <mergeCell ref="B81:G81"/>
    <mergeCell ref="H81:I81"/>
    <mergeCell ref="C90:E90"/>
    <mergeCell ref="C91:E91"/>
    <mergeCell ref="B93:H93"/>
    <mergeCell ref="B94:G94"/>
    <mergeCell ref="H94:I94"/>
    <mergeCell ref="B95:H95"/>
    <mergeCell ref="B96:H96"/>
    <mergeCell ref="C92:E92"/>
    <mergeCell ref="B82:C82"/>
    <mergeCell ref="B83:I83"/>
    <mergeCell ref="B85:G85"/>
    <mergeCell ref="H85:I85"/>
    <mergeCell ref="C86:E86"/>
    <mergeCell ref="C87:E87"/>
    <mergeCell ref="B88:H88"/>
    <mergeCell ref="B89:G89"/>
    <mergeCell ref="H89:I89"/>
    <mergeCell ref="C212:E212"/>
    <mergeCell ref="B213:H213"/>
    <mergeCell ref="B214:G214"/>
    <mergeCell ref="H214:I214"/>
    <mergeCell ref="B215:H215"/>
    <mergeCell ref="B216:H216"/>
    <mergeCell ref="B202:G202"/>
    <mergeCell ref="H202:I202"/>
    <mergeCell ref="B203:C203"/>
    <mergeCell ref="B204:I204"/>
    <mergeCell ref="B206:G206"/>
    <mergeCell ref="H206:I206"/>
    <mergeCell ref="B209:H209"/>
    <mergeCell ref="B210:G210"/>
    <mergeCell ref="H210:I210"/>
    <mergeCell ref="C207:E207"/>
    <mergeCell ref="C208:E208"/>
    <mergeCell ref="C211:E211"/>
  </mergeCells>
  <printOptions horizontalCentered="1" gridLines="1"/>
  <pageMargins left="0.43307086614173229" right="0" top="0.70866141732283472" bottom="0.35433070866141736" header="0" footer="0.39370078740157483"/>
  <pageSetup paperSize="9" scale="53" orientation="portrait" horizontalDpi="1200" verticalDpi="1200" r:id="rId1"/>
  <headerFooter alignWithMargins="0">
    <oddFooter>Página &amp;P de &amp;N</oddFooter>
  </headerFooter>
  <rowBreaks count="1" manualBreakCount="1">
    <brk id="233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showGridLines="0" topLeftCell="A4" workbookViewId="0">
      <selection activeCell="Q15" sqref="Q15"/>
    </sheetView>
  </sheetViews>
  <sheetFormatPr defaultRowHeight="15" x14ac:dyDescent="0.25"/>
  <cols>
    <col min="1" max="1" width="9.140625" style="31"/>
    <col min="2" max="2" width="13" style="31" customWidth="1"/>
    <col min="3" max="3" width="6.42578125" style="31" customWidth="1"/>
    <col min="4" max="4" width="9.7109375" style="31" bestFit="1" customWidth="1"/>
    <col min="5" max="5" width="2.85546875" style="31" bestFit="1" customWidth="1"/>
    <col min="6" max="6" width="9.7109375" style="31" bestFit="1" customWidth="1"/>
    <col min="7" max="7" width="1.7109375" style="31" bestFit="1" customWidth="1"/>
    <col min="8" max="8" width="9.7109375" style="31" bestFit="1" customWidth="1"/>
    <col min="9" max="9" width="2.140625" style="31" customWidth="1"/>
    <col min="10" max="10" width="9.7109375" style="31" bestFit="1" customWidth="1"/>
    <col min="11" max="11" width="1.7109375" style="31" bestFit="1" customWidth="1"/>
    <col min="12" max="12" width="8.28515625" style="31" customWidth="1"/>
    <col min="13" max="13" width="9.42578125" style="31" customWidth="1"/>
    <col min="14" max="14" width="3.7109375" style="31" customWidth="1"/>
    <col min="15" max="15" width="5.7109375" style="31" customWidth="1"/>
    <col min="16" max="16384" width="9.140625" style="31"/>
  </cols>
  <sheetData>
    <row r="1" spans="2:15" ht="30" x14ac:dyDescent="0.25">
      <c r="B1" s="52"/>
      <c r="C1" s="47"/>
      <c r="D1" s="51" t="s">
        <v>22</v>
      </c>
      <c r="E1" s="50" t="s">
        <v>22</v>
      </c>
      <c r="F1" s="49"/>
      <c r="G1" s="49"/>
      <c r="H1" s="49"/>
      <c r="I1" s="48"/>
      <c r="J1" s="47"/>
      <c r="K1" s="47"/>
      <c r="L1" s="47"/>
      <c r="M1" s="47"/>
      <c r="N1" s="47"/>
      <c r="O1" s="46"/>
    </row>
    <row r="2" spans="2:15" ht="30" x14ac:dyDescent="0.25">
      <c r="B2" s="45"/>
      <c r="C2" s="40"/>
      <c r="D2" s="44" t="s">
        <v>21</v>
      </c>
      <c r="E2" s="43" t="s">
        <v>21</v>
      </c>
      <c r="F2" s="42"/>
      <c r="G2" s="42"/>
      <c r="H2" s="42"/>
      <c r="I2" s="41"/>
      <c r="J2" s="40"/>
      <c r="K2" s="40"/>
      <c r="L2" s="40"/>
      <c r="M2" s="40"/>
      <c r="N2" s="40"/>
      <c r="O2" s="39"/>
    </row>
    <row r="3" spans="2:15" ht="30" x14ac:dyDescent="0.25">
      <c r="B3" s="38"/>
      <c r="C3" s="33"/>
      <c r="D3" s="37" t="s">
        <v>20</v>
      </c>
      <c r="E3" s="36" t="s">
        <v>20</v>
      </c>
      <c r="F3" s="35"/>
      <c r="G3" s="35"/>
      <c r="H3" s="35"/>
      <c r="I3" s="34"/>
      <c r="J3" s="33"/>
      <c r="K3" s="33"/>
      <c r="L3" s="33"/>
      <c r="M3" s="33"/>
      <c r="N3" s="33"/>
      <c r="O3" s="32"/>
    </row>
    <row r="4" spans="2:15" x14ac:dyDescent="0.25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2:15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2:15" ht="18" x14ac:dyDescent="0.25">
      <c r="B6" s="583" t="s">
        <v>26</v>
      </c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5"/>
    </row>
    <row r="7" spans="2:15" x14ac:dyDescent="0.25"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2:15" ht="18" x14ac:dyDescent="0.25">
      <c r="B8" s="586" t="s">
        <v>19</v>
      </c>
      <c r="C8" s="586"/>
      <c r="D8" s="586"/>
      <c r="E8" s="586"/>
      <c r="F8" s="586"/>
      <c r="G8" s="586"/>
      <c r="H8" s="586"/>
      <c r="I8" s="586"/>
      <c r="J8" s="586" t="s">
        <v>18</v>
      </c>
      <c r="K8" s="586"/>
      <c r="L8" s="586"/>
      <c r="M8" s="586"/>
      <c r="N8" s="586"/>
      <c r="O8" s="586"/>
    </row>
    <row r="9" spans="2:15" ht="20.100000000000001" customHeight="1" x14ac:dyDescent="0.25">
      <c r="B9" s="581" t="s">
        <v>27</v>
      </c>
      <c r="C9" s="581"/>
      <c r="D9" s="581"/>
      <c r="E9" s="581"/>
      <c r="F9" s="581"/>
      <c r="G9" s="581"/>
      <c r="H9" s="581"/>
      <c r="I9" s="581"/>
      <c r="J9" s="582">
        <v>6.1600000000000002E-2</v>
      </c>
      <c r="K9" s="582"/>
      <c r="L9" s="582"/>
      <c r="M9" s="582"/>
      <c r="N9" s="582"/>
      <c r="O9" s="582"/>
    </row>
    <row r="10" spans="2:15" ht="20.100000000000001" customHeight="1" x14ac:dyDescent="0.25">
      <c r="B10" s="581" t="s">
        <v>28</v>
      </c>
      <c r="C10" s="581"/>
      <c r="D10" s="581"/>
      <c r="E10" s="581"/>
      <c r="F10" s="581"/>
      <c r="G10" s="581"/>
      <c r="H10" s="581"/>
      <c r="I10" s="581"/>
      <c r="J10" s="582">
        <v>0.03</v>
      </c>
      <c r="K10" s="582"/>
      <c r="L10" s="582"/>
      <c r="M10" s="582"/>
      <c r="N10" s="582"/>
      <c r="O10" s="582"/>
    </row>
    <row r="11" spans="2:15" ht="20.100000000000001" customHeight="1" x14ac:dyDescent="0.25">
      <c r="B11" s="581" t="s">
        <v>17</v>
      </c>
      <c r="C11" s="581"/>
      <c r="D11" s="581"/>
      <c r="E11" s="581"/>
      <c r="F11" s="581"/>
      <c r="G11" s="581"/>
      <c r="H11" s="581"/>
      <c r="I11" s="581"/>
      <c r="J11" s="582">
        <v>5.8999999999999999E-3</v>
      </c>
      <c r="K11" s="582"/>
      <c r="L11" s="582"/>
      <c r="M11" s="582"/>
      <c r="N11" s="582"/>
      <c r="O11" s="582"/>
    </row>
    <row r="12" spans="2:15" ht="20.100000000000001" customHeight="1" x14ac:dyDescent="0.25">
      <c r="B12" s="581" t="s">
        <v>29</v>
      </c>
      <c r="C12" s="581"/>
      <c r="D12" s="581"/>
      <c r="E12" s="581"/>
      <c r="F12" s="581"/>
      <c r="G12" s="581"/>
      <c r="H12" s="581"/>
      <c r="I12" s="581"/>
      <c r="J12" s="582">
        <v>0.03</v>
      </c>
      <c r="K12" s="582"/>
      <c r="L12" s="582"/>
      <c r="M12" s="582"/>
      <c r="N12" s="582"/>
      <c r="O12" s="582"/>
    </row>
    <row r="13" spans="2:15" ht="20.100000000000001" customHeight="1" x14ac:dyDescent="0.25">
      <c r="B13" s="581" t="s">
        <v>30</v>
      </c>
      <c r="C13" s="581"/>
      <c r="D13" s="581"/>
      <c r="E13" s="581"/>
      <c r="F13" s="581"/>
      <c r="G13" s="581"/>
      <c r="H13" s="581"/>
      <c r="I13" s="581"/>
      <c r="J13" s="582">
        <v>6.4999999999999997E-3</v>
      </c>
      <c r="K13" s="582"/>
      <c r="L13" s="582"/>
      <c r="M13" s="582"/>
      <c r="N13" s="582"/>
      <c r="O13" s="582"/>
    </row>
    <row r="14" spans="2:15" ht="20.100000000000001" customHeight="1" x14ac:dyDescent="0.25">
      <c r="B14" s="581" t="s">
        <v>31</v>
      </c>
      <c r="C14" s="581"/>
      <c r="D14" s="581"/>
      <c r="E14" s="581"/>
      <c r="F14" s="581"/>
      <c r="G14" s="581"/>
      <c r="H14" s="581"/>
      <c r="I14" s="581"/>
      <c r="J14" s="582">
        <v>0.03</v>
      </c>
      <c r="K14" s="582"/>
      <c r="L14" s="582"/>
      <c r="M14" s="582"/>
      <c r="N14" s="582"/>
      <c r="O14" s="582"/>
    </row>
    <row r="15" spans="2:15" ht="20.100000000000001" customHeight="1" x14ac:dyDescent="0.25">
      <c r="B15" s="590" t="s">
        <v>332</v>
      </c>
      <c r="C15" s="591"/>
      <c r="D15" s="591"/>
      <c r="E15" s="591"/>
      <c r="F15" s="591"/>
      <c r="G15" s="591"/>
      <c r="H15" s="591"/>
      <c r="I15" s="592"/>
      <c r="J15" s="593">
        <v>4.4999999999999998E-2</v>
      </c>
      <c r="K15" s="594"/>
      <c r="L15" s="594"/>
      <c r="M15" s="594"/>
      <c r="N15" s="594"/>
      <c r="O15" s="595"/>
    </row>
    <row r="16" spans="2:15" ht="20.100000000000001" customHeight="1" x14ac:dyDescent="0.25">
      <c r="B16" s="581" t="s">
        <v>333</v>
      </c>
      <c r="C16" s="581"/>
      <c r="D16" s="581"/>
      <c r="E16" s="581"/>
      <c r="F16" s="581"/>
      <c r="G16" s="581"/>
      <c r="H16" s="581"/>
      <c r="I16" s="581"/>
      <c r="J16" s="582">
        <v>1.77E-2</v>
      </c>
      <c r="K16" s="582"/>
      <c r="L16" s="582"/>
      <c r="M16" s="582"/>
      <c r="N16" s="582"/>
      <c r="O16" s="582"/>
    </row>
    <row r="17" spans="2:15" x14ac:dyDescent="0.25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</row>
    <row r="18" spans="2:15" ht="18" x14ac:dyDescent="0.25">
      <c r="B18" s="586" t="s">
        <v>32</v>
      </c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</row>
    <row r="19" spans="2:15" x14ac:dyDescent="0.25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</row>
    <row r="20" spans="2:15" x14ac:dyDescent="0.25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2:15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</row>
    <row r="22" spans="2:15" x14ac:dyDescent="0.25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  <row r="23" spans="2:15" x14ac:dyDescent="0.25"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</row>
    <row r="24" spans="2:15" x14ac:dyDescent="0.25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</row>
    <row r="25" spans="2:15" x14ac:dyDescent="0.25"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</row>
    <row r="26" spans="2:15" x14ac:dyDescent="0.25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</row>
    <row r="27" spans="2:15" x14ac:dyDescent="0.25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2:15" x14ac:dyDescent="0.25"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</row>
    <row r="29" spans="2:15" x14ac:dyDescent="0.25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</row>
    <row r="30" spans="2:15" x14ac:dyDescent="0.25"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2:15" x14ac:dyDescent="0.25"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</row>
    <row r="32" spans="2:15" ht="18" x14ac:dyDescent="0.25">
      <c r="B32" s="587" t="s">
        <v>33</v>
      </c>
      <c r="C32" s="588"/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588"/>
      <c r="O32" s="589"/>
    </row>
    <row r="33" spans="2:17" x14ac:dyDescent="0.25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2:17" ht="20.100000000000001" customHeight="1" x14ac:dyDescent="0.25">
      <c r="B34" s="596" t="s">
        <v>34</v>
      </c>
      <c r="C34" s="62" t="s">
        <v>35</v>
      </c>
      <c r="D34" s="63">
        <f>J10</f>
        <v>0.03</v>
      </c>
      <c r="E34" s="64" t="s">
        <v>36</v>
      </c>
      <c r="F34" s="65">
        <f>J16</f>
        <v>1.77E-2</v>
      </c>
      <c r="G34" s="64" t="s">
        <v>37</v>
      </c>
      <c r="H34" s="66" t="s">
        <v>38</v>
      </c>
      <c r="I34" s="597">
        <f>J11</f>
        <v>5.8999999999999999E-3</v>
      </c>
      <c r="J34" s="597"/>
      <c r="K34" s="64" t="s">
        <v>37</v>
      </c>
      <c r="L34" s="66" t="s">
        <v>38</v>
      </c>
      <c r="M34" s="63">
        <f>J9</f>
        <v>6.1600000000000002E-2</v>
      </c>
      <c r="N34" s="64" t="s">
        <v>37</v>
      </c>
      <c r="O34" s="598">
        <v>-1</v>
      </c>
    </row>
    <row r="35" spans="2:17" ht="20.100000000000001" customHeight="1" x14ac:dyDescent="0.25">
      <c r="B35" s="596"/>
      <c r="C35" s="67"/>
      <c r="D35" s="68" t="s">
        <v>39</v>
      </c>
      <c r="E35" s="69" t="s">
        <v>40</v>
      </c>
      <c r="F35" s="70">
        <f>J12</f>
        <v>0.03</v>
      </c>
      <c r="G35" s="69" t="s">
        <v>40</v>
      </c>
      <c r="H35" s="70">
        <f>J13</f>
        <v>6.4999999999999997E-3</v>
      </c>
      <c r="I35" s="71" t="s">
        <v>40</v>
      </c>
      <c r="J35" s="71">
        <f>J14</f>
        <v>0.03</v>
      </c>
      <c r="K35" s="599">
        <f>-J15</f>
        <v>-4.4999999999999998E-2</v>
      </c>
      <c r="L35" s="599"/>
      <c r="M35" s="70" t="s">
        <v>37</v>
      </c>
      <c r="N35" s="67"/>
      <c r="O35" s="598"/>
    </row>
    <row r="36" spans="2:17" ht="15.75" x14ac:dyDescent="0.2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</row>
    <row r="37" spans="2:17" ht="15" customHeight="1" x14ac:dyDescent="0.3">
      <c r="B37" s="600" t="s">
        <v>34</v>
      </c>
      <c r="C37" s="601">
        <f>((1+J10+J16)*(1+J11)*(1+J9)/(1-J12-J13-J14-J15))-1</f>
        <v>0.25920149250197011</v>
      </c>
      <c r="D37" s="60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</row>
    <row r="38" spans="2:17" ht="15" customHeight="1" x14ac:dyDescent="0.3">
      <c r="B38" s="600"/>
      <c r="C38" s="602"/>
      <c r="D38" s="602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6"/>
    </row>
    <row r="39" spans="2:17" x14ac:dyDescent="0.25"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</row>
    <row r="40" spans="2:17" x14ac:dyDescent="0.25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/>
    </row>
    <row r="42" spans="2:17" ht="15.75" x14ac:dyDescent="0.25">
      <c r="B42" s="77" t="s">
        <v>14</v>
      </c>
      <c r="E42" s="229"/>
      <c r="H42" s="398"/>
      <c r="I42" s="398"/>
      <c r="J42" s="398"/>
      <c r="K42" s="398"/>
      <c r="L42" s="398"/>
      <c r="M42" s="398"/>
      <c r="N42" s="398"/>
      <c r="O42" s="398"/>
      <c r="P42" s="398"/>
      <c r="Q42" s="398"/>
    </row>
    <row r="43" spans="2:17" ht="15.75" x14ac:dyDescent="0.25">
      <c r="E43" s="229"/>
      <c r="H43" s="398"/>
      <c r="I43" s="398"/>
      <c r="J43" s="398"/>
      <c r="K43" s="398"/>
      <c r="L43" s="398"/>
      <c r="M43" s="398"/>
      <c r="N43" s="398"/>
      <c r="O43" s="398"/>
      <c r="P43" s="398"/>
      <c r="Q43" s="398"/>
    </row>
    <row r="44" spans="2:17" ht="15.75" x14ac:dyDescent="0.25">
      <c r="H44" s="398"/>
      <c r="I44" s="398"/>
      <c r="J44" s="398"/>
      <c r="K44" s="398"/>
      <c r="L44" s="398"/>
      <c r="M44" s="398"/>
      <c r="N44" s="398"/>
      <c r="O44" s="398"/>
      <c r="P44" s="398"/>
      <c r="Q44" s="398"/>
    </row>
    <row r="45" spans="2:17" ht="15.75" x14ac:dyDescent="0.25">
      <c r="H45" s="398"/>
      <c r="I45" s="398"/>
      <c r="J45" s="398"/>
      <c r="K45" s="398"/>
      <c r="L45" s="398"/>
      <c r="M45" s="398"/>
      <c r="N45" s="398"/>
      <c r="O45" s="398"/>
      <c r="P45" s="398"/>
      <c r="Q45" s="398"/>
    </row>
  </sheetData>
  <mergeCells count="31">
    <mergeCell ref="H42:Q42"/>
    <mergeCell ref="H43:Q43"/>
    <mergeCell ref="H44:Q44"/>
    <mergeCell ref="H45:Q45"/>
    <mergeCell ref="B34:B35"/>
    <mergeCell ref="I34:J34"/>
    <mergeCell ref="O34:O35"/>
    <mergeCell ref="K35:L35"/>
    <mergeCell ref="B37:B38"/>
    <mergeCell ref="C37:D38"/>
    <mergeCell ref="B32:O32"/>
    <mergeCell ref="B15:I15"/>
    <mergeCell ref="J15:O15"/>
    <mergeCell ref="B11:I11"/>
    <mergeCell ref="J11:O11"/>
    <mergeCell ref="B12:I12"/>
    <mergeCell ref="J12:O12"/>
    <mergeCell ref="B13:I13"/>
    <mergeCell ref="J13:O13"/>
    <mergeCell ref="B14:I14"/>
    <mergeCell ref="J14:O14"/>
    <mergeCell ref="B16:I16"/>
    <mergeCell ref="J16:O16"/>
    <mergeCell ref="B18:O18"/>
    <mergeCell ref="B10:I10"/>
    <mergeCell ref="J10:O10"/>
    <mergeCell ref="B6:O6"/>
    <mergeCell ref="B8:I8"/>
    <mergeCell ref="J8:O8"/>
    <mergeCell ref="B9:I9"/>
    <mergeCell ref="J9:O9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Planila Orçamentária</vt:lpstr>
      <vt:lpstr>Cronograma</vt:lpstr>
      <vt:lpstr>Memorial de Cálculo</vt:lpstr>
      <vt:lpstr>Composições de Custo</vt:lpstr>
      <vt:lpstr>BDI</vt:lpstr>
      <vt:lpstr>BDI!Area_de_impressao</vt:lpstr>
      <vt:lpstr>'Composições de Custo'!Area_de_impressao</vt:lpstr>
      <vt:lpstr>Cronograma!Area_de_impressao</vt:lpstr>
      <vt:lpstr>'Memorial de Cálculo'!Area_de_impressao</vt:lpstr>
      <vt:lpstr>'Planila Orçamentária'!Area_de_impressao</vt:lpstr>
      <vt:lpstr>'Composições de Custo'!Titulos_de_impressao</vt:lpstr>
      <vt:lpstr>'Memorial de Cálculo'!Titulos_de_impressao</vt:lpstr>
      <vt:lpstr>'Planila Orçamentária'!Titulos_de_impressao</vt:lpstr>
    </vt:vector>
  </TitlesOfParts>
  <Company>SESAPI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</dc:creator>
  <cp:lastModifiedBy>CPL05</cp:lastModifiedBy>
  <cp:lastPrinted>2017-12-13T12:49:05Z</cp:lastPrinted>
  <dcterms:created xsi:type="dcterms:W3CDTF">2008-07-14T14:43:26Z</dcterms:created>
  <dcterms:modified xsi:type="dcterms:W3CDTF">2018-02-06T15:55:46Z</dcterms:modified>
</cp:coreProperties>
</file>