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75" windowWidth="11280" windowHeight="6630" tabRatio="695" activeTab="1"/>
  </bookViews>
  <sheets>
    <sheet name="Resumo" sheetId="1" r:id="rId1"/>
    <sheet name="Pl Orçamentária" sheetId="2" r:id="rId2"/>
    <sheet name="Cronagrama" sheetId="3" r:id="rId3"/>
    <sheet name="Memorial de Cálculo" sheetId="4" r:id="rId4"/>
    <sheet name="Composições de Custo" sheetId="5" r:id="rId5"/>
    <sheet name="BDI" sheetId="6" r:id="rId6"/>
    <sheet name="LEIS SOCIAIS" sheetId="7" r:id="rId7"/>
    <sheet name="Cotação de Preço" sheetId="8" r:id="rId8"/>
  </sheets>
  <definedNames>
    <definedName name="_xlfn.IFERROR" hidden="1">#NAME?</definedName>
    <definedName name="_xlnm.Print_Area" localSheetId="5">'BDI'!$B$3:$G$56</definedName>
    <definedName name="_xlnm.Print_Area" localSheetId="4">'Composições de Custo'!$B$2:$I$241</definedName>
    <definedName name="_xlnm.Print_Area" localSheetId="7">'Cotação de Preço'!$B$2:$G$42</definedName>
    <definedName name="_xlnm.Print_Area" localSheetId="2">'Cronagrama'!$B$2:$L$38</definedName>
    <definedName name="_xlnm.Print_Area" localSheetId="6">'LEIS SOCIAIS'!$B$2:$G$57</definedName>
    <definedName name="_xlnm.Print_Area" localSheetId="3">'Memorial de Cálculo'!$B$2:$M$735</definedName>
    <definedName name="_xlnm.Print_Area" localSheetId="1">'Pl Orçamentária'!$B$2:$L$249</definedName>
    <definedName name="_xlnm.Print_Area" localSheetId="0">'Resumo'!$B$2:$F$62</definedName>
    <definedName name="_xlnm.Print_Titles" localSheetId="2">'Cronagrama'!$14:$16</definedName>
    <definedName name="_xlnm.Print_Titles" localSheetId="3">'Memorial de Cálculo'!$14:$15</definedName>
    <definedName name="_xlnm.Print_Titles" localSheetId="1">'Pl Orçamentária'!$14:$16</definedName>
    <definedName name="_xlnm.Print_Titles" localSheetId="0">'Resumo'!$13:$13</definedName>
  </definedNames>
  <calcPr fullCalcOnLoad="1"/>
</workbook>
</file>

<file path=xl/sharedStrings.xml><?xml version="1.0" encoding="utf-8"?>
<sst xmlns="http://schemas.openxmlformats.org/spreadsheetml/2006/main" count="1883" uniqueCount="769">
  <si>
    <t>unid.</t>
  </si>
  <si>
    <t>Item</t>
  </si>
  <si>
    <t>Discriminação</t>
  </si>
  <si>
    <t>Unidade</t>
  </si>
  <si>
    <t>Quantidade</t>
  </si>
  <si>
    <t>1.00</t>
  </si>
  <si>
    <t>SERVIÇOS PRELIMINARES</t>
  </si>
  <si>
    <t>6.00</t>
  </si>
  <si>
    <t>PAVIMENTAÇÃO</t>
  </si>
  <si>
    <t>ESQUADRIAS</t>
  </si>
  <si>
    <t>REVESTIMENTO</t>
  </si>
  <si>
    <t>PINTURA</t>
  </si>
  <si>
    <t>DIVERSOS</t>
  </si>
  <si>
    <t>Custo Unitário</t>
  </si>
  <si>
    <t>TOTAL</t>
  </si>
  <si>
    <t>ITEM</t>
  </si>
  <si>
    <t>DISCRIMINAÇÃO</t>
  </si>
  <si>
    <t>9.00</t>
  </si>
  <si>
    <t>% DO ITEM</t>
  </si>
  <si>
    <t>VALOR DO ITEM</t>
  </si>
  <si>
    <t>30 DIAS</t>
  </si>
  <si>
    <t>60 DIAS</t>
  </si>
  <si>
    <t>%</t>
  </si>
  <si>
    <t>VALOR</t>
  </si>
  <si>
    <t>TOTAL DO PERÍODO (R$)</t>
  </si>
  <si>
    <t>TOTAL DO PERÍODO (%)</t>
  </si>
  <si>
    <t>Placa da obra - 300 x 150</t>
  </si>
  <si>
    <t>90 DIAS</t>
  </si>
  <si>
    <t>m</t>
  </si>
  <si>
    <t>COORDENAÇÃO DE INFRA-ESTRUTURA EM SAÚDE</t>
  </si>
  <si>
    <t>% Serviço</t>
  </si>
  <si>
    <t>Limpeza da obra</t>
  </si>
  <si>
    <t>pt</t>
  </si>
  <si>
    <t>m²</t>
  </si>
  <si>
    <t>Referência</t>
  </si>
  <si>
    <t>Código</t>
  </si>
  <si>
    <t>SINAPI</t>
  </si>
  <si>
    <t>74209/001</t>
  </si>
  <si>
    <t>Preço Total</t>
  </si>
  <si>
    <t>Preço Total do Item</t>
  </si>
  <si>
    <t>GABINETE DO SECRETÁRIO</t>
  </si>
  <si>
    <t>NÚCLEO DE INFRA-ESTRUTURA EM SAÚDE - NIS</t>
  </si>
  <si>
    <t>PT</t>
  </si>
  <si>
    <t>UNID</t>
  </si>
  <si>
    <t>ORSE</t>
  </si>
  <si>
    <t>Caixa de inspeção em concreto pré-moldado dn  60mm com tampa h= 60cm fornecimento e instalação</t>
  </si>
  <si>
    <t>74166/001</t>
  </si>
  <si>
    <t>CRONOGRAMA FÍSICO-FINANCEIRO</t>
  </si>
  <si>
    <t>MEMORIAL DE CÁLCULO</t>
  </si>
  <si>
    <t>APLICAÇÃO</t>
  </si>
  <si>
    <t>LARGURA</t>
  </si>
  <si>
    <t>ALTURA</t>
  </si>
  <si>
    <t>AREA</t>
  </si>
  <si>
    <t>VOLUME</t>
  </si>
  <si>
    <t>m³</t>
  </si>
  <si>
    <t>Unid.</t>
  </si>
  <si>
    <t>5. PIS</t>
  </si>
  <si>
    <t>4. ISSQN</t>
  </si>
  <si>
    <t>10.00</t>
  </si>
  <si>
    <t>11.00</t>
  </si>
  <si>
    <t>Aplicação e lixamento de massa látex em paredes, duas demãos</t>
  </si>
  <si>
    <t>Ponto de luz em teto ou parede, com eletroduto pvc rígido embutido Ø 3/4"</t>
  </si>
  <si>
    <t>00642</t>
  </si>
  <si>
    <t>Ponto de tomada 2p+t, de embutir, 10 A, com eletroduto de pvc rígido embutido Ø 3/4", fio rigido 2,5mm² (fio 12), inclusive placa em pvc e aterramento</t>
  </si>
  <si>
    <t>03297</t>
  </si>
  <si>
    <t>Ponto de água fria embutido, c/material pvc rígido soldável Ø 25mm</t>
  </si>
  <si>
    <t>01200</t>
  </si>
  <si>
    <t>01683</t>
  </si>
  <si>
    <t>Ponto de esgoto com tubo de pvc rígido soldável de Ø 40 mm (lavatórios, mictórios, ralos sifonados, etc...)</t>
  </si>
  <si>
    <t>01679</t>
  </si>
  <si>
    <t>01678</t>
  </si>
  <si>
    <t>2.00</t>
  </si>
  <si>
    <t>COMPOSIÇÃO DO BDI</t>
  </si>
  <si>
    <t>DESCRIÇÃO</t>
  </si>
  <si>
    <t>1. LUCRO</t>
  </si>
  <si>
    <t>2. ADMINISTRAÇÃO CENTRAL</t>
  </si>
  <si>
    <t>3. DESPESAS FINANCEIRAS</t>
  </si>
  <si>
    <t>6. CPRB (2% SOBRE FATURAMENTO)</t>
  </si>
  <si>
    <t>7. COFINS</t>
  </si>
  <si>
    <t>8. GARANTIAS, SEGUROS E RISCOS</t>
  </si>
  <si>
    <t>X(%)=</t>
  </si>
  <si>
    <t>Y(%)=</t>
  </si>
  <si>
    <t>Z(%)=</t>
  </si>
  <si>
    <t>l(%)=</t>
  </si>
  <si>
    <t>Aplicando na fórmula acima, temos:</t>
  </si>
  <si>
    <t>BDI(%)=</t>
  </si>
  <si>
    <t>Preço Unitário Com BDI (%)</t>
  </si>
  <si>
    <t>PT.</t>
  </si>
  <si>
    <t>Circulação</t>
  </si>
  <si>
    <t>Reboco, de parede, com argamassa traço- 1:2:8 (cimento / cal / areia), espessura 2,5 cm</t>
  </si>
  <si>
    <r>
      <rPr>
        <b/>
        <sz val="11"/>
        <rFont val="Arial"/>
        <family val="2"/>
      </rPr>
      <t>Endereço:</t>
    </r>
    <r>
      <rPr>
        <sz val="11"/>
        <rFont val="Arial"/>
        <family val="2"/>
      </rPr>
      <t xml:space="preserve"> Zona Urbana</t>
    </r>
  </si>
  <si>
    <r>
      <t>Endereço:</t>
    </r>
    <r>
      <rPr>
        <sz val="14"/>
        <rFont val="Arial"/>
        <family val="2"/>
      </rPr>
      <t xml:space="preserve">  Zona Urbana</t>
    </r>
  </si>
  <si>
    <t>COMPISIÇÕES DE CUSTO</t>
  </si>
  <si>
    <t>ENCARGOS SOCIAIS COM DESONERAÇÃO:</t>
  </si>
  <si>
    <t>Preço Adotado =</t>
  </si>
  <si>
    <t>Descrição</t>
  </si>
  <si>
    <t>Coeficiente</t>
  </si>
  <si>
    <t>Preço</t>
  </si>
  <si>
    <t>Total</t>
  </si>
  <si>
    <t>MAO DE OBRA</t>
  </si>
  <si>
    <t xml:space="preserve">H </t>
  </si>
  <si>
    <t>TOTAL MAO DE OBRA</t>
  </si>
  <si>
    <t>MATERIAIS</t>
  </si>
  <si>
    <t>KG</t>
  </si>
  <si>
    <t>TOTAL MATERIAIS</t>
  </si>
  <si>
    <t>TOTAL GERAL</t>
  </si>
  <si>
    <t>H</t>
  </si>
  <si>
    <t>UN</t>
  </si>
  <si>
    <t>88316/SINAPI</t>
  </si>
  <si>
    <t>SERVENTE COM ENCARGOS COMPLEMENTARES</t>
  </si>
  <si>
    <t>88309/SINAPI</t>
  </si>
  <si>
    <t>PEDREIRO COM ENCARGOS COMPLEMENTARES</t>
  </si>
  <si>
    <t>COMP.</t>
  </si>
  <si>
    <t>Unid: M</t>
  </si>
  <si>
    <t>Ponto de esgoto com tubo de pvc rígido soldável de Ø 50 mm (pias, caixa sinfonadas)</t>
  </si>
  <si>
    <t>Aplicação manual de pintura com tinta PVA em teto, branco neve, duas demãos</t>
  </si>
  <si>
    <t>M</t>
  </si>
  <si>
    <t>Ponto de telefone, com eletroduto de pvc rígido embutido Ø 3/4", inclusive fio trançado 2 x 22</t>
  </si>
  <si>
    <t>03730</t>
  </si>
  <si>
    <t>5.00</t>
  </si>
  <si>
    <t>88256/SINAPI</t>
  </si>
  <si>
    <t>MATERIAIS/SERVIÇOS</t>
  </si>
  <si>
    <t>Unid: M²</t>
  </si>
  <si>
    <t>QUANT</t>
  </si>
  <si>
    <t>PERIM</t>
  </si>
  <si>
    <t>Identificação da obra</t>
  </si>
  <si>
    <r>
      <rPr>
        <b/>
        <sz val="10"/>
        <rFont val="Arial"/>
        <family val="2"/>
      </rPr>
      <t>Endereço:</t>
    </r>
    <r>
      <rPr>
        <sz val="10"/>
        <rFont val="Arial"/>
        <family val="2"/>
      </rPr>
      <t xml:space="preserve"> Zona Urbana</t>
    </r>
  </si>
  <si>
    <t>COMPRIM</t>
  </si>
  <si>
    <t>6.1</t>
  </si>
  <si>
    <t>5.1</t>
  </si>
  <si>
    <t>1.1</t>
  </si>
  <si>
    <t>2.1</t>
  </si>
  <si>
    <t>2.2</t>
  </si>
  <si>
    <t>8.2</t>
  </si>
  <si>
    <t/>
  </si>
  <si>
    <t>REDE DE ESGOTO SANITÁRIO</t>
  </si>
  <si>
    <t>REDE DE ÁGUA FRIA</t>
  </si>
  <si>
    <t>LOUÇAS E METAIS</t>
  </si>
  <si>
    <t>Porta sabão líquido em plástico ABS, com reservatório, branco</t>
  </si>
  <si>
    <t>Porta papel toalha em plástico ABS, branco</t>
  </si>
  <si>
    <t>Porta Papel higiênico ABS, branco</t>
  </si>
  <si>
    <t>9.1</t>
  </si>
  <si>
    <t>9.2</t>
  </si>
  <si>
    <t>10.1</t>
  </si>
  <si>
    <t>VIDROS</t>
  </si>
  <si>
    <t>Luminária de emergênica</t>
  </si>
  <si>
    <t>TOTAL CONSTRUÇÃO</t>
  </si>
  <si>
    <t>Paredes Horizontais</t>
  </si>
  <si>
    <t>Paredes Verticais</t>
  </si>
  <si>
    <t>Fechadura para porta tipo alavanca, cromada</t>
  </si>
  <si>
    <t>M²</t>
  </si>
  <si>
    <t>Luminária de sobrepor para lâmpadas fluorescente com preteção em policarbonato 2 x 32 w (completa)</t>
  </si>
  <si>
    <t>00559</t>
  </si>
  <si>
    <t>Registro de gaveta com canopla ø 25mm, (cromoda) - fornecimento e instalação</t>
  </si>
  <si>
    <t>07609</t>
  </si>
  <si>
    <t>07610</t>
  </si>
  <si>
    <t>04374</t>
  </si>
  <si>
    <t>74065/002</t>
  </si>
  <si>
    <t>Aplicação e lixamento de massa  em teto, duas demãos</t>
  </si>
  <si>
    <t>GOVERNO DO ESTADO DO PIAUÍ</t>
  </si>
  <si>
    <t>ENCARGOS SOCIAIS SOBRE A MÃO DE OBRA - COM DESONERAÇÃO</t>
  </si>
  <si>
    <t>CÓDIGO</t>
  </si>
  <si>
    <t>HORISTA %</t>
  </si>
  <si>
    <t>MENSALISTA %</t>
  </si>
  <si>
    <t>GRUPO A</t>
  </si>
  <si>
    <t>A1</t>
  </si>
  <si>
    <t>INSS</t>
  </si>
  <si>
    <t>A2</t>
  </si>
  <si>
    <t xml:space="preserve"> 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</si>
  <si>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</si>
  <si>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</si>
  <si>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</si>
  <si>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</si>
  <si>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</si>
  <si>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</si>
  <si>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</si>
  <si>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</si>
  <si>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</si>
  <si>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</si>
  <si>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</si>
  <si>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</si>
  <si>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</si>
  <si>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</si>
  <si>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</si>
  <si>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</t>
  </si>
  <si>
    <t>GRUPO B</t>
  </si>
  <si>
    <t>B1</t>
  </si>
  <si>
    <t>Repouso Semanal Remunerado</t>
  </si>
  <si>
    <t>B2</t>
  </si>
  <si>
    <t>Feriados</t>
  </si>
  <si>
    <t>B3</t>
  </si>
  <si>
    <t>Auxilio - enfermidade</t>
  </si>
  <si>
    <t>B4</t>
  </si>
  <si>
    <t xml:space="preserve"> 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</si>
  <si>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</si>
  <si>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</si>
  <si>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</si>
  <si>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</si>
  <si>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</si>
  <si>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</si>
  <si>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</si>
  <si>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Auxilio acidete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</si>
  <si>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</si>
  <si>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</si>
  <si>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</si>
  <si>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</si>
  <si>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</si>
  <si>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</si>
  <si>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</si>
  <si>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</si>
  <si>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</si>
  <si>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</si>
  <si>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</si>
  <si>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</si>
  <si>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Idenizadas</t>
  </si>
  <si>
    <t>C4</t>
  </si>
  <si>
    <t>Depósito rescisão sem Justa Causa</t>
  </si>
  <si>
    <t>C5</t>
  </si>
  <si>
    <t>Idenização Adicional</t>
  </si>
  <si>
    <t>C</t>
  </si>
  <si>
    <t>Total dos Encargos Sociais que não recebem incidências globais de A</t>
  </si>
  <si>
    <t>GRUPO D</t>
  </si>
  <si>
    <t>D1</t>
  </si>
  <si>
    <t>Reincidência de Grupo A sobre Grupo B</t>
  </si>
  <si>
    <t>D2</t>
  </si>
  <si>
    <t>Reincidência de Grupo A sobre Aviso Prévio Trabalhado e Reincidência doFGTSsobre Aviso Prévio Indenizado</t>
  </si>
  <si>
    <t>D</t>
  </si>
  <si>
    <t>Total das Taxas incidências e reincidências</t>
  </si>
  <si>
    <t>TOTAL (A+B+C+D)</t>
  </si>
  <si>
    <t>PERCENTUAIS(%)</t>
  </si>
  <si>
    <t>PLANILHA ORÇAMENTÁRIA</t>
  </si>
  <si>
    <t>Aplicação manual de pintura tinta acrílica, em paredes, duas demãos</t>
  </si>
  <si>
    <t>11.1</t>
  </si>
  <si>
    <t>11.2</t>
  </si>
  <si>
    <r>
      <rPr>
        <b/>
        <sz val="12"/>
        <rFont val="Arial"/>
        <family val="2"/>
      </rPr>
      <t>Endereço:</t>
    </r>
    <r>
      <rPr>
        <sz val="12"/>
        <rFont val="Arial"/>
        <family val="2"/>
      </rPr>
      <t xml:space="preserve"> Zona Urbana</t>
    </r>
  </si>
  <si>
    <t>Parede V 01</t>
  </si>
  <si>
    <t>Parede V 02</t>
  </si>
  <si>
    <t>ESQUADRIAS DE MADEIRA</t>
  </si>
  <si>
    <t>ESQUADRIAS METÁLICAS</t>
  </si>
  <si>
    <t>09560</t>
  </si>
  <si>
    <t>5.2</t>
  </si>
  <si>
    <t>RESVESTIMENTO INTERNO</t>
  </si>
  <si>
    <t>Em Paredes Internas</t>
  </si>
  <si>
    <t>Em Paredes Externas</t>
  </si>
  <si>
    <t>Ralo sinfonado, PVC 100x40, junta soldável-fornecimento e instalação</t>
  </si>
  <si>
    <t xml:space="preserve">Chapisco aplicado em alvenarias de paredes, com colher de pedreiro. argamassa traço 1:3 com </t>
  </si>
  <si>
    <t>Emboço, para recebimento de cerâmica, em argamassa traço 1:2:8, manualmente</t>
  </si>
  <si>
    <t>COBERTURA</t>
  </si>
  <si>
    <t>AZULEJISTA OU LADRILHISTA COM ENCARGOS COMPLEMENTARES</t>
  </si>
  <si>
    <t>Carga manual de entulho em caminhão basculante 6 m³</t>
  </si>
  <si>
    <t>Transporte local com caminhão basculante 6 m3, rodovia pavimentada (para distancias superiores a 4 km)</t>
  </si>
  <si>
    <t>m³.km</t>
  </si>
  <si>
    <t>Pintura esmalte acetinado para madeira, duas demãos, sobre fundo branco</t>
  </si>
  <si>
    <t>1.2</t>
  </si>
  <si>
    <t>73822/001</t>
  </si>
  <si>
    <t>Extintor incendio tp po quimico 4kg fornecimento e colocacao</t>
  </si>
  <si>
    <t>73775/001</t>
  </si>
  <si>
    <t>73775/002</t>
  </si>
  <si>
    <t>QUADRO RESUMO DA PLANILHA ORÇAMENTÁRIA</t>
  </si>
  <si>
    <t>2.3</t>
  </si>
  <si>
    <t>2.5</t>
  </si>
  <si>
    <t>Lavanderia</t>
  </si>
  <si>
    <t>Consultório Odontológico</t>
  </si>
  <si>
    <t>Farmácia</t>
  </si>
  <si>
    <t>Copa</t>
  </si>
  <si>
    <t>Porta de madeira compensada lisa, 60x210x3,5cm, incluso aduela 2A, alizar 2A e dobradiças</t>
  </si>
  <si>
    <t>Sala PPP</t>
  </si>
  <si>
    <t xml:space="preserve">Luminária tipo arandela </t>
  </si>
  <si>
    <t>Área Externa</t>
  </si>
  <si>
    <t>LUMINÁRIAS</t>
  </si>
  <si>
    <t>INSTALAÇÕES ELÉTRICAS, LÓGICASE E COMBATE AO INCÊNDIO</t>
  </si>
  <si>
    <t>INSTALAÇÕES DE COMBATE AO INCÊNDIO</t>
  </si>
  <si>
    <t>Aplicação manual de pintura com tinta texturizada acrílica em paredes externas</t>
  </si>
  <si>
    <t>Gradil</t>
  </si>
  <si>
    <t>Peças de apoio c/tubo inox p/wc's  (vaso sanitário)</t>
  </si>
  <si>
    <t>09704</t>
  </si>
  <si>
    <t>Barra de apoio (para deficientes) em aço inox,para lavatório</t>
  </si>
  <si>
    <t>Peças de apoio c/tubo inox (porta)</t>
  </si>
  <si>
    <t>RETIRADAS E DEMOLIÇÕES</t>
  </si>
  <si>
    <t>Retirada de esquadrias metálicas</t>
  </si>
  <si>
    <t>Retirada de vidro</t>
  </si>
  <si>
    <t>2.6</t>
  </si>
  <si>
    <t>Administração</t>
  </si>
  <si>
    <t>Retirada de portas de madeira</t>
  </si>
  <si>
    <t>Retirada de batentes de madeira</t>
  </si>
  <si>
    <t>2.7</t>
  </si>
  <si>
    <t>2.8</t>
  </si>
  <si>
    <t>Demolição de alvenaria</t>
  </si>
  <si>
    <t>Retirada de telha metálica</t>
  </si>
  <si>
    <t>6.1.1</t>
  </si>
  <si>
    <t>PONTOS,INTERRUPTORES E TOMADAS</t>
  </si>
  <si>
    <t>Muro</t>
  </si>
  <si>
    <t>Entulho existente</t>
  </si>
  <si>
    <t>Data Base: Dezembro de 2015/Com Desoneração</t>
  </si>
  <si>
    <t xml:space="preserve">TOTAL GERAL </t>
  </si>
  <si>
    <t>PONTO ELÉTRICO PARA TOMADA TERMOMAGNÉTICA ATÉ 20A (CAIXA 4X2", ELETRODUTO, FIOS E TOMADA)</t>
  </si>
  <si>
    <t>Unid: PT</t>
  </si>
  <si>
    <t>88247 /SINAPI</t>
  </si>
  <si>
    <t>AUXILIAR DE ELETRICISTA COM ENCARGOS COMPLEMENTARES</t>
  </si>
  <si>
    <t>88264 /SINAPI</t>
  </si>
  <si>
    <t>ELETRICISTA COM ENCARGOS COMPLEMENTARES</t>
  </si>
  <si>
    <t xml:space="preserve">SERVENTE COM ENCARGOS COMPLEMENTARES </t>
  </si>
  <si>
    <t>I1003/SINAPI</t>
  </si>
  <si>
    <t>CABO DE COBRE ISOLAMENTO ANTI-CHAMA 450/750V 4MM2, FLEXIVEL,</t>
  </si>
  <si>
    <t>I1876/SINAPI</t>
  </si>
  <si>
    <t>CURVA PVC 90G P/ ELETRODUTO ROSCAVEL 2"</t>
  </si>
  <si>
    <t>I2681/SINAPI</t>
  </si>
  <si>
    <t>ELETRODUTO DE PVC ROSCÁVEL DE 2" (50 MM), SEM LUVA</t>
  </si>
  <si>
    <t>I20111/SINAPI</t>
  </si>
  <si>
    <t>FITA ISOLANTE ADESIVA ANTI-CHAMA, USO ATÉ 750 V, EM ROLO DE 19 MM X 20 M</t>
  </si>
  <si>
    <t>I1894/SINAPI</t>
  </si>
  <si>
    <t>LUVA PVC ROSCAVEL P/ ELETRODUTO 2''</t>
  </si>
  <si>
    <t>I1872/SINAPI</t>
  </si>
  <si>
    <t>CAIXA PVC 4" X 2" P/ ELETRODUTO "</t>
  </si>
  <si>
    <t>I7531/SINAPI</t>
  </si>
  <si>
    <t>TOMADA EMBUTIR 3P 20A/250V C/PLACA</t>
  </si>
  <si>
    <t>Demolição de piso cerâmico</t>
  </si>
  <si>
    <t>DEMOLIÇÃO DE PISO CERÂMICO</t>
  </si>
  <si>
    <t xml:space="preserve">DEMOLIÇÃO DE LASTRO DE CONCRETO   </t>
  </si>
  <si>
    <t>RETIRADA DE REVESTIMENTNO CERÂMICO</t>
  </si>
  <si>
    <t>73899/002</t>
  </si>
  <si>
    <t>Demolição de alvenaria de tijolos furados s/reaproveitamento</t>
  </si>
  <si>
    <t>04943</t>
  </si>
  <si>
    <t xml:space="preserve">Porta de madeira compensada lisa 80x210x3,5cm, incluso aduela, alizar e dobradicas </t>
  </si>
  <si>
    <t xml:space="preserve">Janela em alumínio anodizado natural </t>
  </si>
  <si>
    <t>6.2</t>
  </si>
  <si>
    <t>6.3</t>
  </si>
  <si>
    <t>7.00</t>
  </si>
  <si>
    <t>7.1</t>
  </si>
  <si>
    <t>7.1.1</t>
  </si>
  <si>
    <t>7.1.2</t>
  </si>
  <si>
    <t>Sifão do tipo garrafa em metal cromado - fornecimento e instalação</t>
  </si>
  <si>
    <t>Torneira cromada tubo móvel,  1/2" ou 3/4" padrão alto - fornecimento e instalação</t>
  </si>
  <si>
    <t>Torneira cromada de mesa, 1/2" ou 3/4", para lavatório - fornecimento e instalação</t>
  </si>
  <si>
    <t>Torneira cromada 1/2" ou 3/4" para tanque, padrão médio - fornecimento e instalação</t>
  </si>
  <si>
    <t>02390</t>
  </si>
  <si>
    <t>02391</t>
  </si>
  <si>
    <t>8.00</t>
  </si>
  <si>
    <t>8.1</t>
  </si>
  <si>
    <t>Ponto de tomada 2p+t, de embutir, 20 A, com eletroduto de pvc rígido embutido Ø 3/4", fio rigido 4mm² (fio 12), inclusive placa em pvc e aterramento</t>
  </si>
  <si>
    <t>00690</t>
  </si>
  <si>
    <t>Ponto para lógica, c/ eletroduto pvc rígido embutido Ø 3/4" em parede</t>
  </si>
  <si>
    <t>Tomada 2p+t, ABNT, 10 A, incluindo suporte e placa - fornecimento e instalação</t>
  </si>
  <si>
    <t>07592</t>
  </si>
  <si>
    <t>Extintor incendio agua-pressurizada 10l incl suporte parede carga completa fornecimento e colocacao</t>
  </si>
  <si>
    <t xml:space="preserve">Revestimento cerâmico para paredes internas </t>
  </si>
  <si>
    <t>02180</t>
  </si>
  <si>
    <t>Regularização  para revestimento de pisos com esp. média = 2,5cm</t>
  </si>
  <si>
    <t>Revestimetno cerâmico para piso de 45x45cm com pei superior a 4, inclusive rodapé h=15cm</t>
  </si>
  <si>
    <t>Aplicação manual de fundo selador acrílico, uma demão</t>
  </si>
  <si>
    <t>Pintura esmalte sintético em esquadrias de ferro com base anti-ferrugem, incluindo gradil</t>
  </si>
  <si>
    <t>73791/001</t>
  </si>
  <si>
    <t>11.3</t>
  </si>
  <si>
    <t>11.4</t>
  </si>
  <si>
    <t>11.5</t>
  </si>
  <si>
    <t>11.6</t>
  </si>
  <si>
    <t>11.7</t>
  </si>
  <si>
    <t>11.8</t>
  </si>
  <si>
    <t>11.9</t>
  </si>
  <si>
    <t>INSTALAÇÕES  HIDRO-SANITÁRIAS E COMBATE A INCÊNDIO</t>
  </si>
  <si>
    <t>Limpeza manual de terreno</t>
  </si>
  <si>
    <t>Pintura com tinta em po industrializada a base de cal, duas demaos</t>
  </si>
  <si>
    <r>
      <rPr>
        <b/>
        <sz val="12"/>
        <rFont val="Arial"/>
        <family val="2"/>
      </rPr>
      <t xml:space="preserve">Município: </t>
    </r>
    <r>
      <rPr>
        <sz val="12"/>
        <rFont val="Arial"/>
        <family val="2"/>
      </rPr>
      <t>São Miguel da Baixa Grande - PI</t>
    </r>
  </si>
  <si>
    <r>
      <rPr>
        <b/>
        <sz val="11"/>
        <rFont val="Arial"/>
        <family val="2"/>
      </rPr>
      <t>Município:</t>
    </r>
    <r>
      <rPr>
        <sz val="11"/>
        <rFont val="Arial"/>
        <family val="2"/>
      </rPr>
      <t xml:space="preserve">  São Miguel da Baixa Grande - PI</t>
    </r>
  </si>
  <si>
    <r>
      <rPr>
        <b/>
        <sz val="14"/>
        <color indexed="8"/>
        <rFont val="Arial"/>
        <family val="2"/>
      </rPr>
      <t xml:space="preserve">Município: </t>
    </r>
    <r>
      <rPr>
        <sz val="14"/>
        <color indexed="8"/>
        <rFont val="Arial"/>
        <family val="2"/>
      </rPr>
      <t>São Miguel da Baixa Grande - PI</t>
    </r>
  </si>
  <si>
    <r>
      <rPr>
        <b/>
        <sz val="11"/>
        <color indexed="8"/>
        <rFont val="Arial"/>
        <family val="2"/>
      </rPr>
      <t>Município:</t>
    </r>
    <r>
      <rPr>
        <sz val="11"/>
        <color indexed="8"/>
        <rFont val="Arial"/>
        <family val="2"/>
      </rPr>
      <t xml:space="preserve"> São Miguel da Baixa Grande - PI</t>
    </r>
  </si>
  <si>
    <r>
      <t xml:space="preserve">Município: </t>
    </r>
    <r>
      <rPr>
        <sz val="10"/>
        <rFont val="Arial"/>
        <family val="2"/>
      </rPr>
      <t>São Miguel da Baixa Grande - PI</t>
    </r>
  </si>
  <si>
    <t>Portão área externa</t>
  </si>
  <si>
    <t>Janelas Espera</t>
  </si>
  <si>
    <t>Esquadria em aço fixa para vidro dimensões 200x210 cm</t>
  </si>
  <si>
    <t>Porta  200x210cm</t>
  </si>
  <si>
    <t>Sala Utilidadades</t>
  </si>
  <si>
    <t>Sala Esterelização</t>
  </si>
  <si>
    <t>DML</t>
  </si>
  <si>
    <t>Sala de Educação em Saúde</t>
  </si>
  <si>
    <t>Sala Administrativa</t>
  </si>
  <si>
    <t>Almoxarifado</t>
  </si>
  <si>
    <t>Consultório Indiferenciado/Triagem</t>
  </si>
  <si>
    <t>Sala de Vacina</t>
  </si>
  <si>
    <t>Sala de Nebulização</t>
  </si>
  <si>
    <t xml:space="preserve">Registro </t>
  </si>
  <si>
    <t>Sanitário Feminino</t>
  </si>
  <si>
    <t>Banheiro</t>
  </si>
  <si>
    <t>Observação Feminina</t>
  </si>
  <si>
    <t>Observação Masculino</t>
  </si>
  <si>
    <t>Sala de Curativos/Suturas</t>
  </si>
  <si>
    <t>Banheiro Masculino</t>
  </si>
  <si>
    <t>Porta 80x210 cm</t>
  </si>
  <si>
    <t>Porta 120x210 cm</t>
  </si>
  <si>
    <t>Porta 150x210 cm</t>
  </si>
  <si>
    <t>Porta 200x210 cm</t>
  </si>
  <si>
    <t>Sanitário Masculino</t>
  </si>
  <si>
    <t>Abertura de janela</t>
  </si>
  <si>
    <t>Porta de madeira compensada lisa, 120x210x3,5cm, incluso aduela 2A, alizar 2A e dobradiças vai vem</t>
  </si>
  <si>
    <t>Porta de madeira compensada lisa, 150x210x3,5cm, 2 folhas incluso aduela 2A, alizar 2A e dobradiças vai vem</t>
  </si>
  <si>
    <t>Porta de madeira compensada lisa, 200x210x3,5cm, 2 folhas incluso aduela 2A, alizar 2A e dobradiças vai vem</t>
  </si>
  <si>
    <t>Circulação 2</t>
  </si>
  <si>
    <t>74100/001</t>
  </si>
  <si>
    <t>Portão de ferro</t>
  </si>
  <si>
    <t>Externa</t>
  </si>
  <si>
    <t>Vidro para esquadrias recepção/Espera</t>
  </si>
  <si>
    <t xml:space="preserve">Janelas </t>
  </si>
  <si>
    <t>Esquadria fixa 200x210 cm</t>
  </si>
  <si>
    <t>Janela para acesso a cobertura</t>
  </si>
  <si>
    <t>02433</t>
  </si>
  <si>
    <t>Vidro temperado 10 mm, liso, transparente, com ferragens</t>
  </si>
  <si>
    <t>09256</t>
  </si>
  <si>
    <t>Visor em alumínio com vidro temperado 6mm</t>
  </si>
  <si>
    <t>Posto de Enfermagem e Serviços</t>
  </si>
  <si>
    <t>Sala Esterilização</t>
  </si>
  <si>
    <t>Sala de Esterelização</t>
  </si>
  <si>
    <t>Posto Enfermagem/Serviços</t>
  </si>
  <si>
    <t>Vacina</t>
  </si>
  <si>
    <t>Banheiro PPP</t>
  </si>
  <si>
    <t>Observação Masculina</t>
  </si>
  <si>
    <t>Sala de Curativos</t>
  </si>
  <si>
    <t>Nebulização</t>
  </si>
  <si>
    <t>Esterilização</t>
  </si>
  <si>
    <t>Sala de Vaciana</t>
  </si>
  <si>
    <t>Sala de Curativo</t>
  </si>
  <si>
    <t>Consultório Idiferenciado</t>
  </si>
  <si>
    <t>Banheiro Sala PPP</t>
  </si>
  <si>
    <t>Peças de apoio c/tubo inox (chuveiro)</t>
  </si>
  <si>
    <t>Sala de Utilidades</t>
  </si>
  <si>
    <t>Consultório Indiferenciado</t>
  </si>
  <si>
    <t>Cosultório Odontológico</t>
  </si>
  <si>
    <t>Registro/Informação</t>
  </si>
  <si>
    <t>Embarque/Desembarque</t>
  </si>
  <si>
    <t>Sala de PPP</t>
  </si>
  <si>
    <t>Posto de Enfermagem/Serviços</t>
  </si>
  <si>
    <t>Registro/Informações</t>
  </si>
  <si>
    <t>Cerâmicas sobre bancadas e lavatórios</t>
  </si>
  <si>
    <t>Parede H 01</t>
  </si>
  <si>
    <t>Parede H 02</t>
  </si>
  <si>
    <t>Parede H 03</t>
  </si>
  <si>
    <t>Parede H 04</t>
  </si>
  <si>
    <t>Parede V 03</t>
  </si>
  <si>
    <t>Parede V 05</t>
  </si>
  <si>
    <t>11.10</t>
  </si>
  <si>
    <t>11.11</t>
  </si>
  <si>
    <t xml:space="preserve">Circulação </t>
  </si>
  <si>
    <t>Recepção</t>
  </si>
  <si>
    <t>Forma das portas e Alizares</t>
  </si>
  <si>
    <t>Porta em aço de abrir, 120x210cm, com guarnição, para vidro - fornecimento e instalação</t>
  </si>
  <si>
    <t>Porta em aço de abrir, 200x210cm, duas folhas, com guarnição, para vidro - fornecimento e instalação</t>
  </si>
  <si>
    <t>Janela de ferro para vidro</t>
  </si>
  <si>
    <t>Porta de ferro 80x210cm (externa)</t>
  </si>
  <si>
    <t>Portão</t>
  </si>
  <si>
    <t>Área de Construção e Entornos do prédio</t>
  </si>
  <si>
    <t>74077/001</t>
  </si>
  <si>
    <t>Locacao convencional de obra, através de gabarito de tabuas corridaspontaletadas, sem reaproveitamento</t>
  </si>
  <si>
    <t>MOVIMENTO DE TERRA</t>
  </si>
  <si>
    <t>73965/010</t>
  </si>
  <si>
    <t>Escavacao manual de vala em  material de 1a categoria ate 1,5m excluindoesgotamento / escoramento</t>
  </si>
  <si>
    <t>73904/001</t>
  </si>
  <si>
    <t>Aterro apiloado (manual) com camadas de 20cm, com empréstimo</t>
  </si>
  <si>
    <t>Apiloamento de fundo e vala</t>
  </si>
  <si>
    <t>INFRA-ESTRUTURA</t>
  </si>
  <si>
    <t>Fundação em pedra argamassada, argamassa cimento/areia 1:4</t>
  </si>
  <si>
    <t>Alvenaria embasamento tijolo cerâmico furado 10x20x20 cm</t>
  </si>
  <si>
    <t>Concreto ciclópico para fundação de pilares, 30% de pedra de mão</t>
  </si>
  <si>
    <t xml:space="preserve">Cinta de amarração em concreto armado fck=20mpa </t>
  </si>
  <si>
    <t>04953</t>
  </si>
  <si>
    <t>Impermeabilização de cintas com 2 demãos de tinta asfáltica tipo Neutrol da Vedacit ou simila</t>
  </si>
  <si>
    <t>Lastro de concreto, preparo mecânico, incluso aditivo impermeabilizante e=6cm</t>
  </si>
  <si>
    <t>SUPERESTRUTURA</t>
  </si>
  <si>
    <t>Concreto armado para lajes, pilares, vigas e vergas (20 MPA)</t>
  </si>
  <si>
    <t>74202/001</t>
  </si>
  <si>
    <t>laje pre-moldada p/forro, sobrecarga 100kg/m2, vaos ate 3,50m/e=8cm, com/lajotas e cap.c/conc fck=20mpa, 3cm, inter-eixo 38cm, c/escoramento (reapr.3x) e ferragem negativa</t>
  </si>
  <si>
    <t>PAREDES E PAINÉIS</t>
  </si>
  <si>
    <t>Alvenaria de vedação de blocos cerâmicos furados na vertical de 9x19x39 (espessura 9cm) de paredes e argamassa de assentamento com preparo em betoneira</t>
  </si>
  <si>
    <t>Estrutura metálica para telhado</t>
  </si>
  <si>
    <t xml:space="preserve"> SINAPI </t>
  </si>
  <si>
    <t>74098/001</t>
  </si>
  <si>
    <t>Rufo em concreto armado, largura 40cm, espessura 3cm</t>
  </si>
  <si>
    <t>Chapim de concreto aparente com acabamento desempenado</t>
  </si>
  <si>
    <t>73933/001</t>
  </si>
  <si>
    <t>Porta de ferro, tipo grade , com guarnições</t>
  </si>
  <si>
    <t>73933/002</t>
  </si>
  <si>
    <t>Porta de ferro, de abrir, tipo chapa lisa, com guarnições</t>
  </si>
  <si>
    <t>01830</t>
  </si>
  <si>
    <t>Basculante em aluminio, completo, exclusive vidros</t>
  </si>
  <si>
    <t>Vidro liso comum transparente, espessura 4mm</t>
  </si>
  <si>
    <t>08970</t>
  </si>
  <si>
    <t>Tela de nylon tipo mosquiteiro com moldura em aluminio anodizado natural</t>
  </si>
  <si>
    <t>INSTALAÇÕES  HIDRO-SANITÁRIAS</t>
  </si>
  <si>
    <t xml:space="preserve">Ponto de esgoto com tubo de pvc rígido soldável de Ø 100 mm </t>
  </si>
  <si>
    <t>Tubo pvc esgoto predial dn 100mm, inclusive conexoes - fornecimento e instalacao</t>
  </si>
  <si>
    <t xml:space="preserve"> Grelha de ferro fundido para canaleta larg = 15cm, fornecimento e assentamento</t>
  </si>
  <si>
    <t>INSTALAÇÕES ELÉTRICAS</t>
  </si>
  <si>
    <t>03275</t>
  </si>
  <si>
    <t>Ponto de interruptor 01 seção (1 s) embutido com eletroduto de pvc rígido Ø 3/4"</t>
  </si>
  <si>
    <t>pt.</t>
  </si>
  <si>
    <t>Cabo de cobre flexível isolado, 6 mm², anti-chama 450/750 v - fornecimento e instalação</t>
  </si>
  <si>
    <t>73953/002</t>
  </si>
  <si>
    <t>Luminária tipo calha, de sobrepor, com reator de partida rapida e lâmpada fluorescente 2x20w, completa, fornecimento e instalação</t>
  </si>
  <si>
    <t xml:space="preserve">Revestimento cerâmico para paredes internas 20x20cm </t>
  </si>
  <si>
    <t>Chapisco traco 1:3 (cimento e areia media), espessura 0,5cm, preparo manual da argamassa</t>
  </si>
  <si>
    <t>Reboco traco 1:2:8), espessura 2,0cm, preparo preparo mecânico, aplicação manual</t>
  </si>
  <si>
    <t>73892/002</t>
  </si>
  <si>
    <t>Execução de passeio (calçada) em concreto 12 mpa, traço 1:3:5 (cimento/areia/brita), preparo mecânico, espessura 7cm, com junta de dilatação em madeira, incluso lançamento e adensamento</t>
  </si>
  <si>
    <t>Aplicação de fundo selador látex PVA em teto, uma demão</t>
  </si>
  <si>
    <t>Pintura esmalte sintético, em gradil de ferro com base anti-ferrugem</t>
  </si>
  <si>
    <t xml:space="preserve">Limpeza final da obra </t>
  </si>
  <si>
    <t xml:space="preserve"> m2</t>
  </si>
  <si>
    <t>2.4</t>
  </si>
  <si>
    <t>2.9</t>
  </si>
  <si>
    <t>3.00</t>
  </si>
  <si>
    <t>3.1</t>
  </si>
  <si>
    <t>3.2</t>
  </si>
  <si>
    <t>4.00</t>
  </si>
  <si>
    <t>4.1</t>
  </si>
  <si>
    <t>4.1.1</t>
  </si>
  <si>
    <t>4.1.2</t>
  </si>
  <si>
    <t>4.1.3</t>
  </si>
  <si>
    <t>4.1.4</t>
  </si>
  <si>
    <t>4.1.5</t>
  </si>
  <si>
    <t>4.1.6</t>
  </si>
  <si>
    <t>4.2</t>
  </si>
  <si>
    <t>4.2.1</t>
  </si>
  <si>
    <t>4.2.2</t>
  </si>
  <si>
    <t>4.2.3</t>
  </si>
  <si>
    <t>4.3</t>
  </si>
  <si>
    <t>4.3.1</t>
  </si>
  <si>
    <t>4.3.2</t>
  </si>
  <si>
    <t>4.3.3</t>
  </si>
  <si>
    <t>5.1.4</t>
  </si>
  <si>
    <t>5.1.5</t>
  </si>
  <si>
    <t>5.1.6</t>
  </si>
  <si>
    <t>5.1.7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</si>
  <si>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</si>
  <si>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</si>
  <si>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</si>
  <si>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</si>
  <si>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</si>
  <si>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</si>
  <si>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</si>
  <si>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</si>
  <si>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</si>
  <si>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5.3.10</t>
  </si>
  <si>
    <t>9.3</t>
  </si>
  <si>
    <t>9.4</t>
  </si>
  <si>
    <t>9.5</t>
  </si>
  <si>
    <t>9.6</t>
  </si>
  <si>
    <t>9.7</t>
  </si>
  <si>
    <t>9.8</t>
  </si>
  <si>
    <t>9.9</t>
  </si>
  <si>
    <t>9.10</t>
  </si>
  <si>
    <t>DEPÓSITO DE GAS GLP E COMPRESSOR/CENTRAL DE RESÍDUOS</t>
  </si>
  <si>
    <t>11.1.1</t>
  </si>
  <si>
    <t>11.2.1</t>
  </si>
  <si>
    <t>11.2.2</t>
  </si>
  <si>
    <t>11.2.3</t>
  </si>
  <si>
    <t>11.2.4</t>
  </si>
  <si>
    <t>11.2.5</t>
  </si>
  <si>
    <t>11.3.1</t>
  </si>
  <si>
    <t>11.3.2</t>
  </si>
  <si>
    <t>11.3.3</t>
  </si>
  <si>
    <t>11.3.4</t>
  </si>
  <si>
    <t>11.3.5</t>
  </si>
  <si>
    <t>11.3.6</t>
  </si>
  <si>
    <t>11.4.1</t>
  </si>
  <si>
    <t>11.4.2</t>
  </si>
  <si>
    <t>11.5.1</t>
  </si>
  <si>
    <t>11.6.1</t>
  </si>
  <si>
    <t>11.6.2</t>
  </si>
  <si>
    <t>11.6.3</t>
  </si>
  <si>
    <t>11.6.4</t>
  </si>
  <si>
    <t>11.7.1</t>
  </si>
  <si>
    <t>11.7.3</t>
  </si>
  <si>
    <t>11.7.4</t>
  </si>
  <si>
    <t>11.7.5</t>
  </si>
  <si>
    <t>11.7.6</t>
  </si>
  <si>
    <t>11.8.1</t>
  </si>
  <si>
    <t>11.8.2</t>
  </si>
  <si>
    <t>11.8.3</t>
  </si>
  <si>
    <t>11.8.4</t>
  </si>
  <si>
    <t>11.8.5</t>
  </si>
  <si>
    <t>11.8.6</t>
  </si>
  <si>
    <t>11.8.7</t>
  </si>
  <si>
    <t>11.9.1</t>
  </si>
  <si>
    <t>11.9.2</t>
  </si>
  <si>
    <t>11.9.3</t>
  </si>
  <si>
    <t>11.9.4</t>
  </si>
  <si>
    <t>11.9.5</t>
  </si>
  <si>
    <t>11.10.1</t>
  </si>
  <si>
    <t>11.10.2</t>
  </si>
  <si>
    <t>11.10.3</t>
  </si>
  <si>
    <t>11.10.4</t>
  </si>
  <si>
    <t>11.10.5</t>
  </si>
  <si>
    <t>11.10.6</t>
  </si>
  <si>
    <t>11.11.1</t>
  </si>
  <si>
    <t>11.11.2</t>
  </si>
  <si>
    <t>11.11.3</t>
  </si>
  <si>
    <t>11.12</t>
  </si>
  <si>
    <t>11.12.1</t>
  </si>
  <si>
    <t>11.12.2</t>
  </si>
  <si>
    <t>11.12.3</t>
  </si>
  <si>
    <t>11.12.4</t>
  </si>
  <si>
    <t>11.12.5</t>
  </si>
  <si>
    <t>11.12.6</t>
  </si>
  <si>
    <t>11.13</t>
  </si>
  <si>
    <t>11.13.1</t>
  </si>
  <si>
    <t>Abrigo de Resíduos</t>
  </si>
  <si>
    <t>Calçada Abrigo</t>
  </si>
  <si>
    <t>Rampa Abrigo</t>
  </si>
  <si>
    <t>Pilares</t>
  </si>
  <si>
    <t>Calçada</t>
  </si>
  <si>
    <t>Cinta H 01</t>
  </si>
  <si>
    <t>Cinta V 01</t>
  </si>
  <si>
    <t>Cinta H 02</t>
  </si>
  <si>
    <t>Cinta V 02</t>
  </si>
  <si>
    <t>Cinta V 03</t>
  </si>
  <si>
    <t>Cintas Horizontais</t>
  </si>
  <si>
    <t>Cintas Verticais</t>
  </si>
  <si>
    <t>Vigas</t>
  </si>
  <si>
    <t>Viga H 01</t>
  </si>
  <si>
    <t>Viga H 02</t>
  </si>
  <si>
    <t>Viga H 03</t>
  </si>
  <si>
    <t>Viga V 01</t>
  </si>
  <si>
    <t>Viga V 02</t>
  </si>
  <si>
    <t>Viga V 03</t>
  </si>
  <si>
    <t>Cintas</t>
  </si>
  <si>
    <t>Laje</t>
  </si>
  <si>
    <t>Depósito de Gás GLP</t>
  </si>
  <si>
    <t>Compressor</t>
  </si>
  <si>
    <t>Depósito de Gas e GLP</t>
  </si>
  <si>
    <t>Interno</t>
  </si>
  <si>
    <t xml:space="preserve">Depósito de Gas GLP </t>
  </si>
  <si>
    <t>Externo</t>
  </si>
  <si>
    <t>Rodapé</t>
  </si>
  <si>
    <t>Calçada de entorno</t>
  </si>
  <si>
    <t>Rampas</t>
  </si>
  <si>
    <t>Lixo Infequitante</t>
  </si>
  <si>
    <t>Lixo Comum</t>
  </si>
  <si>
    <t xml:space="preserve">PORTA DE MADEIRA COMPENSADA LISA, 120X210X3,5CM, INCLUSO ADUELA 2A, ALIZAR 2A E DOBRADIÇAS VAI VEM </t>
  </si>
  <si>
    <t>88261/SINAPI</t>
  </si>
  <si>
    <t>CARPINTEIRO DE ESQUADRIA COM ENCARGOS COMPLEMENTARES</t>
  </si>
  <si>
    <t>I00487/ORSE</t>
  </si>
  <si>
    <t>BATENTE (CAIXÃO) EM MADEIRA DE LEI, L=14CM, COMPLETO, C/02 JOGOS DE ALIZAR</t>
  </si>
  <si>
    <t>I11451/SINAPI</t>
  </si>
  <si>
    <t>DOBRADICA TIPO VAI-E-VEM EM ACO/FERRO, TAMANHO 3'', GALVANIZADO, COM PARAFUSOS</t>
  </si>
  <si>
    <t>I02828/ORSE</t>
  </si>
  <si>
    <t>PORTA MADEIRA COMPENSADA (CANELA), LISA, SEMI-OCA - 120 X 210 X 3,5CM</t>
  </si>
  <si>
    <t>I05075/SINAPI</t>
  </si>
  <si>
    <t>PREGO POLIDO COM CABECA 18 X 30</t>
  </si>
  <si>
    <t>SERVIÇOS</t>
  </si>
  <si>
    <t>ARGAMASSA CIMENTO E AREIA TRAÇO T-1 (1:3) - 1 SACO CIMENTO 50KG / 3 PADIOLAS AREIA DIM. 0.35 X 0.45 X 0.23 M - CONFECÇÃO MECÂNICA E TRANSPORTE</t>
  </si>
  <si>
    <t>M³</t>
  </si>
  <si>
    <t>TOTAL SERVIÇO</t>
  </si>
  <si>
    <t>I00370/SINAPI</t>
  </si>
  <si>
    <t>AREIA MEDIA - POSTO JAZIDA/FORNECEDOR (SEM FRETE)</t>
  </si>
  <si>
    <t>01379/SINAPI</t>
  </si>
  <si>
    <t>CIMENTO PORTLAND COMPOSTO CP II-32</t>
  </si>
  <si>
    <t>PORTA DE MADEIRA COMPENSADA LISA, 150X210X3,5CM, 2 FOLHAS INCLUSO ADUELA 2A, ALIZAR 2A E DOBRADIÇAS VAI VEM</t>
  </si>
  <si>
    <t xml:space="preserve"> I05015/ORSE</t>
  </si>
  <si>
    <t>BATENTE (CAIXÃO) EM MADEIRA LEI L=14CM (90X220CM), COMPLETO C/02 JOGOS ALIZAR</t>
  </si>
  <si>
    <t>CJ</t>
  </si>
  <si>
    <t>I01807/ORSE</t>
  </si>
  <si>
    <t>PORTA MADEIRA COMPENSADA (CANELA), LISA, SEMI-OCA - 80 X 210 X 3,5CM</t>
  </si>
  <si>
    <t>PORTA DE MADEIRA COMPENSADA LISA, 200X210X3,5CM, 2 FOLHAS INCLUSO ADUELA 2A, ALIZAR 2A E DOBRADIÇAS VAI VEM</t>
  </si>
  <si>
    <t>I01809/ORSE</t>
  </si>
  <si>
    <t>PORTA MADEIRA COMPENSADA (CANELA), LISA, SEMI-OCA - 100 X 210 X 3,5CM</t>
  </si>
  <si>
    <t>BATENTE EM MADEIRA DE LEI L = 0,14 M (CAIXÃO), INCLUINDO 02 JOGOS DE ALIZAR</t>
  </si>
  <si>
    <t xml:space="preserve">M </t>
  </si>
  <si>
    <t>88262/SINAPI</t>
  </si>
  <si>
    <t>CARPINTEIRO DE FORMAS COM ENCARGOS COMPLEMENTARES</t>
  </si>
  <si>
    <t>BATENTE (CAIXÃO) EM MADEIRA LEI L=14CM , COMPLETO C/02 JOGOS ALIZAR</t>
  </si>
  <si>
    <t>3534</t>
  </si>
  <si>
    <t>Esquadria tipo guilhotina 100x80cm</t>
  </si>
  <si>
    <t>Engate flexível em metal cromado, 1/2" x 30cm - fornecimento e instalação</t>
  </si>
  <si>
    <t>Revestimetno cerâmico para piso com pei superior a 4</t>
  </si>
  <si>
    <t>CONCRETO ARMADO DOSADO 20 MPA INCL MAT P/ 1 M3 PREPARO CONF COMP 5845 COLOC CONF COMP 7090 14 M2 DE AREA MOLDADA FORMAS E ESCORAMENTO CONF COMPS 5306 E 5708 60 KG DE ACO CA-50 INC MAO DE OBRA P/CORTE DOBRAGEM MONTAGEM E COLOCAÇÃO</t>
  </si>
  <si>
    <t>Unid: M³</t>
  </si>
  <si>
    <t>88245/SINAPI</t>
  </si>
  <si>
    <t>ARMADOR COM ENCARGOS COMPLEMENTARES</t>
  </si>
  <si>
    <t>88297/SINAPI</t>
  </si>
  <si>
    <t>OPERADOR DE MÁQUINAS E EQUIPAMENTOS COM ENCARGOS COMPLEMENTARES</t>
  </si>
  <si>
    <t>I0337/SINAPI</t>
  </si>
  <si>
    <t>ARAME RECOZIDO 18 BWG, 1,25 MM (0,01 KG/M)</t>
  </si>
  <si>
    <t>I0027/SINAPI</t>
  </si>
  <si>
    <t>ACO CA-50, 16,0 MM, VERGALHAO</t>
  </si>
  <si>
    <t>I0029/SINAPI</t>
  </si>
  <si>
    <t>ACO CA-50, 20,0 MM, VERGALHAO</t>
  </si>
  <si>
    <t>I0031/SINAPI</t>
  </si>
  <si>
    <t>ACO CA-50, 12,5 MM, VERGALHAO</t>
  </si>
  <si>
    <t>I0032/SINAPI</t>
  </si>
  <si>
    <t>ACO CA-50, 6,3 MM, VERGALHAO</t>
  </si>
  <si>
    <t>I0033/SINAPI</t>
  </si>
  <si>
    <t>ACO CA-50, 8,0 MM, VERGALHAO</t>
  </si>
  <si>
    <t>I0034/SINAPI</t>
  </si>
  <si>
    <t>ACO CA-50, 10,0 MM, VERGALHAO</t>
  </si>
  <si>
    <t>88830/SINAPI</t>
  </si>
  <si>
    <t xml:space="preserve">BETONEIRA CAPACIDADE NOMINAL DE 400 L, CAPACIDADE DE MISTURA 310 L, MOTOR ELÉTRICO TRIFÁSICO POTÊNCIA DE 2 HP, SEM CARREGADOR - CHP 
DIURNO. AF_10/2014                                                                                                              </t>
  </si>
  <si>
    <t>CHP</t>
  </si>
  <si>
    <t>73296/SINAPI</t>
  </si>
  <si>
    <t xml:space="preserve">ALUGUEL ELEVADOR EQUIPADO P/TRANSP CONCR A 10M ALT-CP-S/OPERADOR COM GUINCHO DE 10CV 16M TORRE DESMONTAVEL CACAMBA AUTOMATICA DE 550L FUNIL
P/DESCARGA E SILO DE ESPERA DE 1000L                                                                                                          </t>
  </si>
  <si>
    <t>73298/SINAPI</t>
  </si>
  <si>
    <t xml:space="preserve">VIBRADOR DE IMERSAO MOTOR ELETR 2CV (CP) TUBO DE 48X48 C/MANGOTEDE 5M COMP -EXCL OPERADOR                                                                                                               </t>
  </si>
  <si>
    <t>73299/SINAPI</t>
  </si>
  <si>
    <t xml:space="preserve">VIBRADOR DE IMERSAO MOTOR ELETR 2CV (CI) TUBO 48X480MM C/MANGOTEDE 5M COMP - EXCL OPERADOR                                                                                                              </t>
  </si>
  <si>
    <t>73300/SINAPI</t>
  </si>
  <si>
    <t xml:space="preserve">ALUGUEL ELEVADOR EQUIPADO P/TRANSP CONCR A 10M ALT-CI-S/OPERADOR COMGUINCHO DE 10CV 16M TORRE DESMONTAVEL CACAMBA AUTOMATICA DE 550L FUNILP/DESCARGA E SILO ESPERA DE 1000L                             </t>
  </si>
  <si>
    <t>73301/SINAPI</t>
  </si>
  <si>
    <t>ESCORAMENTO DE FORMA (CIMBRAMENTO) ATE 3,30M DE PE DIREITO, COM MADEIRA DE 3A QUALIDADE, NAO APARELHADA, TABUAS (2,5 X 23,0 CM) EMPREGADAS 3 VEZES E PRUMOS (7,5 X 7,5 CM) 4 VEZES</t>
  </si>
  <si>
    <t>M3</t>
  </si>
  <si>
    <t>73972/002/SINAPI</t>
  </si>
  <si>
    <t xml:space="preserve">CONCRETO FCK=20MPA CONTROLE C ,EXCLUINDO O LANCAMENTO, PREPARO COM B ETONEIRA, UTILIZANDO BRITA 1 E 2. (CONFORME NBR 6118, PERMITIDO APENASPARA FUNDAÇÕES)                                              </t>
  </si>
  <si>
    <t xml:space="preserve">FORMA TABUAS MADEIRA 3A P/ PECAS CONCRETO ARM, REAPR 2X, INCL MONTAGEM E DESMONTAGEM                                                                                                                                                    </t>
  </si>
  <si>
    <t>M2</t>
  </si>
  <si>
    <t>TOTAL SERVIÇOS</t>
  </si>
  <si>
    <t xml:space="preserve">FORMA TABUAS MADEIRA 3A P/ PECAS CONCRETO ARM, REAPR 2X, INCL MONTAGEM E DESMONTAGEM     </t>
  </si>
  <si>
    <t>88239/SINAPI</t>
  </si>
  <si>
    <t xml:space="preserve"> AJUDANTE DE CARPINTEIRO COM ENCARGOS COMPLEMENTARES
COMPLEMENTARES</t>
  </si>
  <si>
    <t xml:space="preserve"> CARPINTEIRO DE FORMAS COM ENCARGOS COMPLEMENTARES</t>
  </si>
  <si>
    <t>I04491/SINAPI</t>
  </si>
  <si>
    <t>PECA DE MADEIRA NATIVA / REGIONAL 7,5 X 7,5CM (3X3) NAO APARELHADA (P/FORMA)</t>
  </si>
  <si>
    <t>I06189/SINAPI</t>
  </si>
  <si>
    <t>TABUA MADEIRA 2A QUALIDADE 2,5 X 30,0CM (1 X 12") NAO APARELHADA</t>
  </si>
  <si>
    <t>I10567/SINAPI</t>
  </si>
  <si>
    <t>TABUA MADEIRA 3A QUALIDADE 2,5 X 23,0CM (1 X 9") NAO APARELHADA</t>
  </si>
  <si>
    <t>CERÂMICA CANELA DE DEMOLIÇÃO 20X120 NATURAL OU TETIFICADA</t>
  </si>
  <si>
    <t>MERCARDO</t>
  </si>
  <si>
    <t>I02540/ORSE</t>
  </si>
  <si>
    <t>REJUNTE COLORIDO FLEXÍVEL PARA REVESTIMENTOS CERÂMICSO</t>
  </si>
  <si>
    <t>I01381/SINAPI</t>
  </si>
  <si>
    <t>ARGAMASSA COLANTE AC I PARA CERAMICAS</t>
  </si>
  <si>
    <t>* Pesquisa realizada no dia 11/02/2016</t>
  </si>
  <si>
    <t>VALOR:</t>
  </si>
  <si>
    <r>
      <t xml:space="preserve">TELEFONE: </t>
    </r>
    <r>
      <rPr>
        <sz val="11"/>
        <rFont val="Calibri"/>
        <family val="2"/>
      </rPr>
      <t>(86) 3237-0560</t>
    </r>
  </si>
  <si>
    <r>
      <t xml:space="preserve">ENDEREÇO:  </t>
    </r>
    <r>
      <rPr>
        <sz val="11"/>
        <rFont val="Calibri"/>
        <family val="2"/>
      </rPr>
      <t>Av. Dom Severino, 1648 - Fátima, Teresina - PI, 64049-375</t>
    </r>
  </si>
  <si>
    <r>
      <t xml:space="preserve">LOJA: </t>
    </r>
    <r>
      <rPr>
        <sz val="11"/>
        <rFont val="Calibri"/>
        <family val="2"/>
      </rPr>
      <t>Empório Portobelo</t>
    </r>
  </si>
  <si>
    <t>CERÂMICA CANELA DE DEMOLIÇÃO 20X120 NATURAL OU TETIFICADA*</t>
  </si>
  <si>
    <t>COTAÇÃO DE PREÇO</t>
  </si>
  <si>
    <t>QUADROS, DISJUNTORES E DISPOSITIVOS</t>
  </si>
  <si>
    <t>00339</t>
  </si>
  <si>
    <t>Quadro de medição trifásica com caixa</t>
  </si>
  <si>
    <t>6.2.1</t>
  </si>
  <si>
    <t>6.2.2</t>
  </si>
  <si>
    <t>6.2.3</t>
  </si>
  <si>
    <t>6.2.4</t>
  </si>
  <si>
    <t>6.2.5</t>
  </si>
  <si>
    <t>6.2.6</t>
  </si>
  <si>
    <t>8.3.1</t>
  </si>
  <si>
    <t>8.3.2</t>
  </si>
  <si>
    <t>8.3.3</t>
  </si>
  <si>
    <t>6.4</t>
  </si>
  <si>
    <t>6.4.1</t>
  </si>
  <si>
    <t>6.4.2</t>
  </si>
  <si>
    <t>Teresina (PI), 12 de Fevereiro de 2016</t>
  </si>
  <si>
    <t>Dezembro de 2015/Com Desoneração</t>
  </si>
  <si>
    <t>Desconsiderar área de construção</t>
  </si>
  <si>
    <t>79514/001</t>
  </si>
  <si>
    <t>Pintura epoxi três demões</t>
  </si>
  <si>
    <t>Teresina (PI),  16 de Fevereiro de  2016</t>
  </si>
  <si>
    <r>
      <rPr>
        <b/>
        <sz val="12"/>
        <rFont val="Arial"/>
        <family val="2"/>
      </rPr>
      <t>Obra:</t>
    </r>
    <r>
      <rPr>
        <sz val="12"/>
        <rFont val="Arial"/>
        <family val="2"/>
      </rPr>
      <t xml:space="preserve"> Reforma da Unidade Básica Avançada de Saúde-UBAS</t>
    </r>
  </si>
  <si>
    <r>
      <rPr>
        <b/>
        <sz val="11"/>
        <rFont val="Arial"/>
        <family val="2"/>
      </rPr>
      <t>Obra:</t>
    </r>
    <r>
      <rPr>
        <sz val="11"/>
        <rFont val="Arial"/>
        <family val="2"/>
      </rPr>
      <t xml:space="preserve"> Reforma da Unidade Básica Avançada de Saúde-UBAS</t>
    </r>
  </si>
  <si>
    <r>
      <rPr>
        <b/>
        <sz val="14"/>
        <rFont val="Arial"/>
        <family val="2"/>
      </rPr>
      <t>Obra</t>
    </r>
    <r>
      <rPr>
        <sz val="14"/>
        <rFont val="Arial"/>
        <family val="2"/>
      </rPr>
      <t>: Reforma da Unidade Básica Avançada de Saúde-UBAS</t>
    </r>
  </si>
  <si>
    <r>
      <rPr>
        <b/>
        <sz val="11"/>
        <rFont val="Arial"/>
        <family val="2"/>
      </rPr>
      <t xml:space="preserve">Obra: </t>
    </r>
    <r>
      <rPr>
        <sz val="11"/>
        <rFont val="Arial"/>
        <family val="2"/>
      </rPr>
      <t>Reforma da Unidade Básica Avançada de Saúde-UBAS</t>
    </r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</si>
  <si>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 xml:space="preserve"> Reforma da Unidade Básica Avançada de Saúde-UBAS</t>
    </r>
  </si>
  <si>
    <r>
      <t xml:space="preserve">Obra: </t>
    </r>
    <r>
      <rPr>
        <sz val="10"/>
        <rFont val="Arial"/>
        <family val="2"/>
      </rPr>
      <t>Reforma da Unidade Básica Avançada de Saúde-UBAS</t>
    </r>
  </si>
  <si>
    <r>
      <rPr>
        <b/>
        <sz val="10"/>
        <rFont val="Arial"/>
        <family val="2"/>
      </rPr>
      <t xml:space="preserve">Obra: </t>
    </r>
    <r>
      <rPr>
        <sz val="10"/>
        <rFont val="Arial"/>
        <family val="2"/>
      </rPr>
      <t>Reforma da Unidade Básica Avançada de Saúde-UBAS</t>
    </r>
  </si>
  <si>
    <t>Cobertura com telha de aço zincado, trapezoidal, espessura de 0,5 mm,incluindo acessórios</t>
  </si>
  <si>
    <t>Cumeeira metálica</t>
  </si>
  <si>
    <t>Vidro comum liso transparente, e=4mm</t>
  </si>
  <si>
    <t>5.3.9</t>
  </si>
  <si>
    <t>5.2.1</t>
  </si>
  <si>
    <t>5.2.2</t>
  </si>
  <si>
    <t>5.2.3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</si>
</sst>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&quot;.&quot;00"/>
    <numFmt numFmtId="173" formatCode="_(* #,##0.00_);_(* \(#,##0.00\);_(* \-??_);_(@_)"/>
    <numFmt numFmtId="174" formatCode="_-* #,##0.00_-;\-* #,##0.00_-;_-* \-??_-;_-@_-"/>
    <numFmt numFmtId="175" formatCode="_(* #,##0_);_(* \(#,##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#,##0.000"/>
    <numFmt numFmtId="181" formatCode="#,##0.0000"/>
    <numFmt numFmtId="182" formatCode="0.000"/>
    <numFmt numFmtId="183" formatCode="#,##0.00000"/>
    <numFmt numFmtId="184" formatCode="0.0000"/>
    <numFmt numFmtId="185" formatCode="_-* #,##0.0000_-;\-* #,##0.0000_-;_-* &quot;-&quot;??_-;_-@_-"/>
    <numFmt numFmtId="186" formatCode="_-* #,##0.000_-;\-* #,##0.000_-;_-* &quot;-&quot;??_-;_-@_-"/>
    <numFmt numFmtId="187" formatCode="#,##0.0000_ ;\-#,##0.0000\ 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0.00000"/>
    <numFmt numFmtId="192" formatCode="[$-416]dddd\,\ d&quot; de &quot;mmmm&quot; de &quot;yyyy"/>
    <numFmt numFmtId="193" formatCode="0.0%"/>
    <numFmt numFmtId="194" formatCode="0.000000"/>
    <numFmt numFmtId="195" formatCode="00000000"/>
    <numFmt numFmtId="196" formatCode="0.000%"/>
    <numFmt numFmtId="197" formatCode="0.0000%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sz val="2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mbria"/>
      <family val="1"/>
    </font>
    <font>
      <i/>
      <sz val="10"/>
      <color indexed="8"/>
      <name val="Cambria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9"/>
      <name val="Arial"/>
      <family val="2"/>
    </font>
    <font>
      <b/>
      <sz val="11"/>
      <name val="Calibri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i/>
      <sz val="12"/>
      <color indexed="8"/>
      <name val="Cambria"/>
      <family val="1"/>
    </font>
    <font>
      <b/>
      <sz val="20"/>
      <color indexed="8"/>
      <name val="Arial Narrow"/>
      <family val="0"/>
    </font>
    <font>
      <b/>
      <sz val="25"/>
      <color indexed="8"/>
      <name val="Arial Narrow"/>
      <family val="0"/>
    </font>
    <font>
      <b/>
      <sz val="18"/>
      <color indexed="8"/>
      <name val="Arial Narrow"/>
      <family val="0"/>
    </font>
    <font>
      <b/>
      <sz val="22"/>
      <color indexed="8"/>
      <name val="Arial Narrow"/>
      <family val="0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rgb="FF000000"/>
      <name val="Cambria"/>
      <family val="1"/>
    </font>
    <font>
      <i/>
      <sz val="10"/>
      <color rgb="FF000000"/>
      <name val="Cambria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2"/>
      <color theme="1"/>
      <name val="Arial"/>
      <family val="2"/>
    </font>
    <font>
      <b/>
      <sz val="11"/>
      <color rgb="FFFFFFFF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sz val="8"/>
      <color theme="1"/>
      <name val="Arial"/>
      <family val="2"/>
    </font>
    <font>
      <b/>
      <i/>
      <u val="single"/>
      <sz val="14"/>
      <color theme="1"/>
      <name val="Arial"/>
      <family val="2"/>
    </font>
    <font>
      <b/>
      <i/>
      <sz val="12"/>
      <color rgb="FF00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44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960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9" fillId="0" borderId="10" xfId="434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0" fontId="3" fillId="0" borderId="0" xfId="0" applyNumberFormat="1" applyFont="1" applyFill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11" fillId="0" borderId="10" xfId="297" applyFont="1" applyFill="1" applyBorder="1" applyAlignment="1">
      <alignment vertical="center"/>
      <protection/>
    </xf>
    <xf numFmtId="4" fontId="3" fillId="0" borderId="0" xfId="312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3" fillId="0" borderId="0" xfId="312" applyNumberFormat="1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4" fontId="3" fillId="33" borderId="0" xfId="312" applyNumberFormat="1" applyFont="1" applyFill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 wrapText="1"/>
    </xf>
    <xf numFmtId="171" fontId="6" fillId="0" borderId="0" xfId="445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0" xfId="312" applyNumberFormat="1" applyFont="1" applyFill="1" applyBorder="1" applyAlignment="1">
      <alignment horizontal="right" vertical="center" wrapText="1"/>
    </xf>
    <xf numFmtId="4" fontId="3" fillId="33" borderId="0" xfId="312" applyNumberFormat="1" applyFont="1" applyFill="1" applyBorder="1" applyAlignment="1">
      <alignment horizontal="center" vertical="center" wrapText="1"/>
    </xf>
    <xf numFmtId="10" fontId="3" fillId="33" borderId="0" xfId="0" applyNumberFormat="1" applyFont="1" applyFill="1" applyBorder="1" applyAlignment="1">
      <alignment horizontal="center" vertical="center" wrapText="1"/>
    </xf>
    <xf numFmtId="0" fontId="3" fillId="33" borderId="0" xfId="297" applyFont="1" applyFill="1" applyBorder="1" applyAlignment="1">
      <alignment vertical="center"/>
      <protection/>
    </xf>
    <xf numFmtId="0" fontId="3" fillId="33" borderId="0" xfId="297" applyFont="1" applyFill="1" applyBorder="1" applyAlignment="1">
      <alignment horizontal="center" vertical="center"/>
      <protection/>
    </xf>
    <xf numFmtId="0" fontId="9" fillId="33" borderId="0" xfId="297" applyFont="1" applyFill="1" applyAlignment="1">
      <alignment vertical="center"/>
      <protection/>
    </xf>
    <xf numFmtId="171" fontId="9" fillId="33" borderId="0" xfId="434" applyFont="1" applyFill="1" applyAlignment="1">
      <alignment vertical="center"/>
    </xf>
    <xf numFmtId="0" fontId="0" fillId="0" borderId="0" xfId="0" applyBorder="1" applyAlignment="1">
      <alignment/>
    </xf>
    <xf numFmtId="0" fontId="78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9" fillId="33" borderId="0" xfId="0" applyFont="1" applyFill="1" applyBorder="1" applyAlignment="1">
      <alignment horizontal="center" vertical="center"/>
    </xf>
    <xf numFmtId="171" fontId="19" fillId="33" borderId="0" xfId="310" applyFont="1" applyFill="1" applyBorder="1" applyAlignment="1">
      <alignment horizontal="center" vertical="center" wrapText="1"/>
    </xf>
    <xf numFmtId="171" fontId="19" fillId="33" borderId="0" xfId="310" applyFont="1" applyFill="1" applyBorder="1" applyAlignment="1">
      <alignment horizontal="center" vertical="center"/>
    </xf>
    <xf numFmtId="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/>
    </xf>
    <xf numFmtId="2" fontId="80" fillId="0" borderId="0" xfId="0" applyNumberFormat="1" applyFont="1" applyFill="1" applyBorder="1" applyAlignment="1">
      <alignment horizontal="center" vertical="center"/>
    </xf>
    <xf numFmtId="171" fontId="18" fillId="0" borderId="0" xfId="310" applyFont="1" applyFill="1" applyBorder="1" applyAlignment="1">
      <alignment horizontal="left" vertical="center" wrapText="1"/>
    </xf>
    <xf numFmtId="171" fontId="19" fillId="0" borderId="0" xfId="310" applyFont="1" applyFill="1" applyBorder="1" applyAlignment="1">
      <alignment horizontal="center" vertical="center"/>
    </xf>
    <xf numFmtId="171" fontId="19" fillId="0" borderId="0" xfId="310" applyFont="1" applyFill="1" applyBorder="1" applyAlignment="1">
      <alignment horizontal="left" vertical="center" wrapText="1"/>
    </xf>
    <xf numFmtId="171" fontId="18" fillId="0" borderId="0" xfId="310" applyFont="1" applyFill="1" applyBorder="1" applyAlignment="1">
      <alignment vertical="center" wrapText="1"/>
    </xf>
    <xf numFmtId="171" fontId="18" fillId="0" borderId="0" xfId="31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81" fillId="33" borderId="0" xfId="0" applyFont="1" applyFill="1" applyBorder="1" applyAlignment="1">
      <alignment vertical="top" wrapText="1"/>
    </xf>
    <xf numFmtId="2" fontId="81" fillId="33" borderId="0" xfId="0" applyNumberFormat="1" applyFont="1" applyFill="1" applyBorder="1" applyAlignment="1">
      <alignment horizontal="center" vertical="top" wrapText="1"/>
    </xf>
    <xf numFmtId="184" fontId="82" fillId="34" borderId="0" xfId="0" applyNumberFormat="1" applyFont="1" applyFill="1" applyBorder="1" applyAlignment="1">
      <alignment horizontal="right" vertical="top" wrapText="1"/>
    </xf>
    <xf numFmtId="0" fontId="82" fillId="33" borderId="0" xfId="0" applyFont="1" applyFill="1" applyBorder="1" applyAlignment="1">
      <alignment vertical="top" wrapText="1"/>
    </xf>
    <xf numFmtId="2" fontId="82" fillId="33" borderId="0" xfId="0" applyNumberFormat="1" applyFont="1" applyFill="1" applyBorder="1" applyAlignment="1">
      <alignment horizontal="center" vertical="top" wrapText="1"/>
    </xf>
    <xf numFmtId="0" fontId="83" fillId="0" borderId="0" xfId="0" applyFont="1" applyAlignment="1">
      <alignment horizontal="justify"/>
    </xf>
    <xf numFmtId="0" fontId="84" fillId="33" borderId="0" xfId="0" applyFont="1" applyFill="1" applyBorder="1" applyAlignment="1">
      <alignment horizontal="right"/>
    </xf>
    <xf numFmtId="2" fontId="84" fillId="33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172" fontId="8" fillId="0" borderId="0" xfId="52" applyNumberFormat="1" applyFont="1" applyFill="1" applyBorder="1" applyAlignment="1">
      <alignment vertical="center" wrapText="1"/>
      <protection/>
    </xf>
    <xf numFmtId="172" fontId="12" fillId="0" borderId="0" xfId="52" applyNumberFormat="1" applyFont="1" applyFill="1" applyBorder="1" applyAlignment="1">
      <alignment vertical="center" wrapText="1"/>
      <protection/>
    </xf>
    <xf numFmtId="4" fontId="3" fillId="0" borderId="0" xfId="52" applyNumberFormat="1" applyFont="1" applyFill="1" applyBorder="1" applyAlignment="1">
      <alignment horizontal="righ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10" fontId="3" fillId="0" borderId="0" xfId="52" applyNumberFormat="1" applyFont="1" applyFill="1" applyBorder="1" applyAlignment="1">
      <alignment horizontal="center" vertical="center" wrapText="1"/>
      <protection/>
    </xf>
    <xf numFmtId="172" fontId="12" fillId="35" borderId="0" xfId="52" applyNumberFormat="1" applyFont="1" applyFill="1" applyBorder="1" applyAlignment="1">
      <alignment vertical="center" wrapText="1"/>
      <protection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72" fontId="3" fillId="0" borderId="0" xfId="52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78" fillId="0" borderId="0" xfId="0" applyFont="1" applyBorder="1" applyAlignment="1">
      <alignment/>
    </xf>
    <xf numFmtId="43" fontId="0" fillId="0" borderId="0" xfId="0" applyNumberFormat="1" applyAlignment="1">
      <alignment/>
    </xf>
    <xf numFmtId="171" fontId="19" fillId="0" borderId="0" xfId="310" applyFont="1" applyFill="1" applyBorder="1" applyAlignment="1">
      <alignment horizontal="center" vertical="center" wrapText="1"/>
    </xf>
    <xf numFmtId="171" fontId="18" fillId="0" borderId="0" xfId="31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4" fontId="21" fillId="33" borderId="0" xfId="0" applyNumberFormat="1" applyFont="1" applyFill="1" applyAlignment="1">
      <alignment horizontal="right" vertical="center" wrapText="1"/>
    </xf>
    <xf numFmtId="4" fontId="21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0" fontId="21" fillId="33" borderId="10" xfId="0" applyNumberFormat="1" applyFont="1" applyFill="1" applyBorder="1" applyAlignment="1" quotePrefix="1">
      <alignment horizontal="center" vertical="center" wrapText="1"/>
    </xf>
    <xf numFmtId="0" fontId="8" fillId="33" borderId="10" xfId="308" applyNumberFormat="1" applyFont="1" applyFill="1" applyBorder="1" applyAlignment="1">
      <alignment horizontal="center" vertical="center" wrapText="1"/>
    </xf>
    <xf numFmtId="4" fontId="21" fillId="33" borderId="16" xfId="0" applyNumberFormat="1" applyFont="1" applyFill="1" applyBorder="1" applyAlignment="1">
      <alignment horizontal="right" vertical="center"/>
    </xf>
    <xf numFmtId="0" fontId="21" fillId="33" borderId="10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right" vertical="center"/>
    </xf>
    <xf numFmtId="4" fontId="8" fillId="33" borderId="10" xfId="308" applyNumberFormat="1" applyFont="1" applyFill="1" applyBorder="1" applyAlignment="1">
      <alignment horizontal="right" vertical="center"/>
    </xf>
    <xf numFmtId="10" fontId="20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right" vertical="center"/>
    </xf>
    <xf numFmtId="4" fontId="8" fillId="0" borderId="10" xfId="308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center" vertical="center"/>
    </xf>
    <xf numFmtId="10" fontId="20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0" xfId="435" applyNumberFormat="1" applyFont="1" applyFill="1" applyBorder="1" applyAlignment="1">
      <alignment horizontal="center" vertical="center" wrapText="1"/>
    </xf>
    <xf numFmtId="0" fontId="8" fillId="33" borderId="10" xfId="435" applyNumberFormat="1" applyFont="1" applyFill="1" applyBorder="1" applyAlignment="1">
      <alignment horizontal="center" vertical="center" wrapText="1"/>
    </xf>
    <xf numFmtId="171" fontId="8" fillId="33" borderId="10" xfId="308" applyFont="1" applyFill="1" applyBorder="1" applyAlignment="1">
      <alignment vertical="center"/>
    </xf>
    <xf numFmtId="0" fontId="8" fillId="0" borderId="10" xfId="308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8" fillId="0" borderId="0" xfId="300" applyFont="1" applyFill="1" applyAlignment="1">
      <alignment horizontal="center" vertical="center" wrapText="1"/>
      <protection/>
    </xf>
    <xf numFmtId="0" fontId="8" fillId="0" borderId="0" xfId="300" applyFont="1" applyFill="1" applyAlignment="1">
      <alignment vertical="center" wrapText="1"/>
      <protection/>
    </xf>
    <xf numFmtId="4" fontId="8" fillId="0" borderId="0" xfId="312" applyNumberFormat="1" applyFont="1" applyFill="1" applyAlignment="1">
      <alignment horizontal="right" vertical="center" wrapText="1"/>
    </xf>
    <xf numFmtId="4" fontId="8" fillId="0" borderId="0" xfId="300" applyNumberFormat="1" applyFont="1" applyFill="1" applyAlignment="1">
      <alignment horizontal="center" vertical="center" wrapText="1"/>
      <protection/>
    </xf>
    <xf numFmtId="10" fontId="8" fillId="0" borderId="0" xfId="300" applyNumberFormat="1" applyFont="1" applyFill="1" applyAlignment="1">
      <alignment horizontal="center" vertical="center" wrapText="1"/>
      <protection/>
    </xf>
    <xf numFmtId="43" fontId="9" fillId="0" borderId="10" xfId="434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4" fontId="21" fillId="0" borderId="16" xfId="0" applyNumberFormat="1" applyFont="1" applyFill="1" applyBorder="1" applyAlignment="1">
      <alignment horizontal="right" vertical="center"/>
    </xf>
    <xf numFmtId="0" fontId="6" fillId="36" borderId="0" xfId="0" applyFont="1" applyFill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172" fontId="3" fillId="0" borderId="17" xfId="53" applyNumberFormat="1" applyFont="1" applyFill="1" applyBorder="1" applyAlignment="1">
      <alignment vertical="center" wrapText="1"/>
      <protection/>
    </xf>
    <xf numFmtId="172" fontId="3" fillId="33" borderId="0" xfId="53" applyNumberFormat="1" applyFont="1" applyFill="1" applyBorder="1" applyAlignment="1">
      <alignment horizontal="left" vertical="center" wrapText="1"/>
      <protection/>
    </xf>
    <xf numFmtId="172" fontId="13" fillId="33" borderId="0" xfId="53" applyNumberFormat="1" applyFont="1" applyFill="1" applyBorder="1" applyAlignment="1">
      <alignment horizontal="left" vertical="center" wrapText="1"/>
      <protection/>
    </xf>
    <xf numFmtId="172" fontId="3" fillId="0" borderId="11" xfId="53" applyNumberFormat="1" applyFont="1" applyFill="1" applyBorder="1" applyAlignment="1">
      <alignment vertical="center" wrapText="1"/>
      <protection/>
    </xf>
    <xf numFmtId="172" fontId="3" fillId="33" borderId="11" xfId="53" applyNumberFormat="1" applyFont="1" applyFill="1" applyBorder="1" applyAlignment="1">
      <alignment vertical="center" wrapText="1"/>
      <protection/>
    </xf>
    <xf numFmtId="0" fontId="6" fillId="33" borderId="0" xfId="0" applyFont="1" applyFill="1" applyAlignment="1">
      <alignment vertical="center" wrapText="1"/>
    </xf>
    <xf numFmtId="0" fontId="14" fillId="0" borderId="11" xfId="53" applyNumberFormat="1" applyFont="1" applyFill="1" applyBorder="1" applyAlignment="1">
      <alignment vertical="center" wrapText="1"/>
      <protection/>
    </xf>
    <xf numFmtId="0" fontId="14" fillId="0" borderId="0" xfId="53" applyNumberFormat="1" applyFont="1" applyFill="1" applyBorder="1" applyAlignment="1">
      <alignment vertical="center" wrapText="1"/>
      <protection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 vertical="center" wrapText="1"/>
    </xf>
    <xf numFmtId="2" fontId="85" fillId="37" borderId="0" xfId="0" applyNumberFormat="1" applyFont="1" applyFill="1" applyBorder="1" applyAlignment="1">
      <alignment vertical="center" wrapText="1"/>
    </xf>
    <xf numFmtId="0" fontId="85" fillId="37" borderId="0" xfId="0" applyFont="1" applyFill="1" applyBorder="1" applyAlignment="1">
      <alignment vertical="center" wrapText="1"/>
    </xf>
    <xf numFmtId="0" fontId="85" fillId="37" borderId="0" xfId="0" applyFont="1" applyFill="1" applyBorder="1" applyAlignment="1">
      <alignment horizontal="right" vertical="center"/>
    </xf>
    <xf numFmtId="2" fontId="86" fillId="0" borderId="0" xfId="0" applyNumberFormat="1" applyFont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43" fontId="6" fillId="33" borderId="0" xfId="0" applyNumberFormat="1" applyFont="1" applyFill="1" applyAlignment="1">
      <alignment horizontal="center" vertical="center" wrapText="1"/>
    </xf>
    <xf numFmtId="171" fontId="6" fillId="33" borderId="0" xfId="445" applyFont="1" applyFill="1" applyAlignment="1">
      <alignment vertical="center" wrapText="1"/>
    </xf>
    <xf numFmtId="0" fontId="6" fillId="38" borderId="0" xfId="0" applyFont="1" applyFill="1" applyAlignment="1">
      <alignment horizontal="center" vertical="center" wrapText="1"/>
    </xf>
    <xf numFmtId="43" fontId="6" fillId="34" borderId="0" xfId="0" applyNumberFormat="1" applyFont="1" applyFill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 quotePrefix="1">
      <alignment horizontal="center" vertical="center" wrapText="1"/>
    </xf>
    <xf numFmtId="43" fontId="13" fillId="0" borderId="10" xfId="308" applyNumberFormat="1" applyFont="1" applyFill="1" applyBorder="1" applyAlignment="1">
      <alignment horizontal="left" vertical="center"/>
    </xf>
    <xf numFmtId="10" fontId="13" fillId="0" borderId="10" xfId="0" applyNumberFormat="1" applyFont="1" applyFill="1" applyBorder="1" applyAlignment="1">
      <alignment vertical="center"/>
    </xf>
    <xf numFmtId="184" fontId="86" fillId="0" borderId="0" xfId="0" applyNumberFormat="1" applyFont="1" applyBorder="1" applyAlignment="1">
      <alignment horizontal="right" vertical="center" wrapText="1"/>
    </xf>
    <xf numFmtId="0" fontId="86" fillId="33" borderId="0" xfId="0" applyFont="1" applyFill="1" applyBorder="1" applyAlignment="1">
      <alignment horizontal="right" vertical="center" wrapText="1"/>
    </xf>
    <xf numFmtId="4" fontId="87" fillId="0" borderId="16" xfId="0" applyNumberFormat="1" applyFont="1" applyFill="1" applyBorder="1" applyAlignment="1">
      <alignment horizontal="right" vertical="center"/>
    </xf>
    <xf numFmtId="0" fontId="8" fillId="33" borderId="10" xfId="435" applyNumberFormat="1" applyFont="1" applyFill="1" applyBorder="1" applyAlignment="1">
      <alignment horizontal="left" vertical="center"/>
    </xf>
    <xf numFmtId="0" fontId="88" fillId="39" borderId="0" xfId="0" applyFont="1" applyFill="1" applyBorder="1" applyAlignment="1">
      <alignment horizontal="center" vertical="center" wrapText="1"/>
    </xf>
    <xf numFmtId="0" fontId="0" fillId="39" borderId="18" xfId="0" applyFill="1" applyBorder="1" applyAlignment="1">
      <alignment/>
    </xf>
    <xf numFmtId="2" fontId="84" fillId="39" borderId="19" xfId="0" applyNumberFormat="1" applyFont="1" applyFill="1" applyBorder="1" applyAlignment="1">
      <alignment horizontal="right"/>
    </xf>
    <xf numFmtId="2" fontId="84" fillId="39" borderId="19" xfId="0" applyNumberFormat="1" applyFont="1" applyFill="1" applyBorder="1" applyAlignment="1">
      <alignment horizontal="left"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80" fillId="0" borderId="10" xfId="0" applyFont="1" applyBorder="1" applyAlignment="1">
      <alignment/>
    </xf>
    <xf numFmtId="0" fontId="78" fillId="0" borderId="10" xfId="0" applyFont="1" applyBorder="1" applyAlignment="1">
      <alignment/>
    </xf>
    <xf numFmtId="2" fontId="80" fillId="0" borderId="10" xfId="0" applyNumberFormat="1" applyFont="1" applyFill="1" applyBorder="1" applyAlignment="1">
      <alignment horizontal="center" vertical="center"/>
    </xf>
    <xf numFmtId="0" fontId="78" fillId="33" borderId="13" xfId="0" applyFont="1" applyFill="1" applyBorder="1" applyAlignment="1">
      <alignment/>
    </xf>
    <xf numFmtId="0" fontId="78" fillId="33" borderId="14" xfId="0" applyFont="1" applyFill="1" applyBorder="1" applyAlignment="1">
      <alignment/>
    </xf>
    <xf numFmtId="0" fontId="78" fillId="33" borderId="15" xfId="0" applyFont="1" applyFill="1" applyBorder="1" applyAlignment="1">
      <alignment/>
    </xf>
    <xf numFmtId="171" fontId="19" fillId="33" borderId="0" xfId="310" applyFont="1" applyFill="1" applyBorder="1" applyAlignment="1">
      <alignment horizontal="left" vertical="center" wrapText="1"/>
    </xf>
    <xf numFmtId="0" fontId="80" fillId="33" borderId="0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wrapText="1"/>
    </xf>
    <xf numFmtId="0" fontId="80" fillId="33" borderId="0" xfId="0" applyFont="1" applyFill="1" applyBorder="1" applyAlignment="1">
      <alignment horizontal="center" vertical="center" wrapText="1"/>
    </xf>
    <xf numFmtId="0" fontId="80" fillId="33" borderId="0" xfId="0" applyFont="1" applyFill="1" applyBorder="1" applyAlignment="1">
      <alignment/>
    </xf>
    <xf numFmtId="2" fontId="80" fillId="33" borderId="0" xfId="0" applyNumberFormat="1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/>
    </xf>
    <xf numFmtId="2" fontId="79" fillId="33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quotePrefix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 quotePrefix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 quotePrefix="1">
      <alignment horizontal="center" vertical="center" wrapText="1"/>
    </xf>
    <xf numFmtId="0" fontId="8" fillId="0" borderId="0" xfId="308" applyNumberFormat="1" applyFont="1" applyFill="1" applyBorder="1" applyAlignment="1">
      <alignment horizontal="center" vertical="center" wrapText="1"/>
    </xf>
    <xf numFmtId="0" fontId="20" fillId="39" borderId="18" xfId="0" applyNumberFormat="1" applyFont="1" applyFill="1" applyBorder="1" applyAlignment="1" quotePrefix="1">
      <alignment horizontal="center" vertical="center" wrapText="1"/>
    </xf>
    <xf numFmtId="0" fontId="20" fillId="39" borderId="19" xfId="0" applyNumberFormat="1" applyFont="1" applyFill="1" applyBorder="1" applyAlignment="1">
      <alignment horizontal="left" vertical="center" wrapText="1"/>
    </xf>
    <xf numFmtId="0" fontId="20" fillId="39" borderId="21" xfId="0" applyNumberFormat="1" applyFont="1" applyFill="1" applyBorder="1" applyAlignment="1">
      <alignment horizontal="left" vertical="center" wrapText="1"/>
    </xf>
    <xf numFmtId="0" fontId="21" fillId="39" borderId="19" xfId="0" applyNumberFormat="1" applyFont="1" applyFill="1" applyBorder="1" applyAlignment="1">
      <alignment horizontal="center" vertical="center" wrapText="1"/>
    </xf>
    <xf numFmtId="4" fontId="21" fillId="39" borderId="19" xfId="0" applyNumberFormat="1" applyFont="1" applyFill="1" applyBorder="1" applyAlignment="1">
      <alignment horizontal="right" vertical="center"/>
    </xf>
    <xf numFmtId="4" fontId="21" fillId="39" borderId="22" xfId="0" applyNumberFormat="1" applyFont="1" applyFill="1" applyBorder="1" applyAlignment="1">
      <alignment horizontal="right" vertical="center"/>
    </xf>
    <xf numFmtId="4" fontId="20" fillId="39" borderId="22" xfId="0" applyNumberFormat="1" applyFont="1" applyFill="1" applyBorder="1" applyAlignment="1">
      <alignment horizontal="center" vertical="center"/>
    </xf>
    <xf numFmtId="10" fontId="20" fillId="39" borderId="23" xfId="0" applyNumberFormat="1" applyFont="1" applyFill="1" applyBorder="1" applyAlignment="1">
      <alignment horizontal="center" vertical="center"/>
    </xf>
    <xf numFmtId="0" fontId="20" fillId="39" borderId="24" xfId="0" applyNumberFormat="1" applyFont="1" applyFill="1" applyBorder="1" applyAlignment="1" quotePrefix="1">
      <alignment horizontal="center" vertical="center" wrapText="1"/>
    </xf>
    <xf numFmtId="0" fontId="20" fillId="39" borderId="19" xfId="0" applyNumberFormat="1" applyFont="1" applyFill="1" applyBorder="1" applyAlignment="1">
      <alignment horizontal="center" vertical="center" wrapText="1"/>
    </xf>
    <xf numFmtId="2" fontId="13" fillId="39" borderId="25" xfId="302" applyNumberFormat="1" applyFont="1" applyFill="1" applyBorder="1" applyAlignment="1" applyProtection="1">
      <alignment horizontal="center" vertical="center" wrapText="1"/>
      <protection/>
    </xf>
    <xf numFmtId="171" fontId="19" fillId="39" borderId="24" xfId="310" applyFont="1" applyFill="1" applyBorder="1" applyAlignment="1">
      <alignment horizontal="center" vertical="center" wrapText="1"/>
    </xf>
    <xf numFmtId="171" fontId="19" fillId="39" borderId="19" xfId="310" applyFont="1" applyFill="1" applyBorder="1" applyAlignment="1">
      <alignment horizontal="left" vertical="center" wrapText="1"/>
    </xf>
    <xf numFmtId="171" fontId="19" fillId="39" borderId="19" xfId="310" applyFont="1" applyFill="1" applyBorder="1" applyAlignment="1">
      <alignment horizontal="center" vertical="center" wrapText="1"/>
    </xf>
    <xf numFmtId="171" fontId="19" fillId="39" borderId="19" xfId="310" applyFont="1" applyFill="1" applyBorder="1" applyAlignment="1">
      <alignment horizontal="center" vertical="center"/>
    </xf>
    <xf numFmtId="171" fontId="19" fillId="39" borderId="20" xfId="310" applyFont="1" applyFill="1" applyBorder="1" applyAlignment="1">
      <alignment horizontal="center" vertical="center"/>
    </xf>
    <xf numFmtId="171" fontId="19" fillId="39" borderId="26" xfId="310" applyFont="1" applyFill="1" applyBorder="1" applyAlignment="1">
      <alignment horizontal="center" vertical="center" wrapText="1"/>
    </xf>
    <xf numFmtId="171" fontId="19" fillId="39" borderId="26" xfId="310" applyFont="1" applyFill="1" applyBorder="1" applyAlignment="1">
      <alignment horizontal="center" vertical="center"/>
    </xf>
    <xf numFmtId="171" fontId="19" fillId="39" borderId="23" xfId="31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left" vertical="center" wrapText="1"/>
    </xf>
    <xf numFmtId="171" fontId="18" fillId="0" borderId="10" xfId="310" applyFont="1" applyFill="1" applyBorder="1" applyAlignment="1">
      <alignment horizontal="center" vertical="center" wrapText="1"/>
    </xf>
    <xf numFmtId="171" fontId="19" fillId="0" borderId="10" xfId="310" applyFont="1" applyFill="1" applyBorder="1" applyAlignment="1">
      <alignment horizontal="center" vertical="center"/>
    </xf>
    <xf numFmtId="171" fontId="19" fillId="39" borderId="18" xfId="310" applyFont="1" applyFill="1" applyBorder="1" applyAlignment="1">
      <alignment horizontal="center" vertical="center" wrapText="1"/>
    </xf>
    <xf numFmtId="0" fontId="79" fillId="39" borderId="21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2" fontId="8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 quotePrefix="1">
      <alignment horizontal="center" vertical="center" wrapText="1"/>
    </xf>
    <xf numFmtId="0" fontId="21" fillId="0" borderId="16" xfId="0" applyNumberFormat="1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3" fillId="0" borderId="0" xfId="300" applyFont="1" applyFill="1" applyBorder="1" applyAlignment="1">
      <alignment horizontal="left" vertical="center" wrapText="1"/>
      <protection/>
    </xf>
    <xf numFmtId="171" fontId="19" fillId="0" borderId="10" xfId="310" applyFont="1" applyFill="1" applyBorder="1" applyAlignment="1">
      <alignment horizontal="center" vertical="center" wrapText="1"/>
    </xf>
    <xf numFmtId="171" fontId="18" fillId="0" borderId="27" xfId="310" applyFont="1" applyFill="1" applyBorder="1" applyAlignment="1">
      <alignment horizontal="center" vertical="center" wrapText="1"/>
    </xf>
    <xf numFmtId="2" fontId="80" fillId="0" borderId="16" xfId="0" applyNumberFormat="1" applyFont="1" applyBorder="1" applyAlignment="1">
      <alignment horizontal="center" vertical="center"/>
    </xf>
    <xf numFmtId="2" fontId="80" fillId="0" borderId="28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0" fillId="0" borderId="16" xfId="0" applyFont="1" applyFill="1" applyBorder="1" applyAlignment="1">
      <alignment wrapText="1"/>
    </xf>
    <xf numFmtId="0" fontId="20" fillId="40" borderId="27" xfId="0" applyNumberFormat="1" applyFont="1" applyFill="1" applyBorder="1" applyAlignment="1" quotePrefix="1">
      <alignment vertical="center"/>
    </xf>
    <xf numFmtId="0" fontId="20" fillId="40" borderId="29" xfId="0" applyNumberFormat="1" applyFont="1" applyFill="1" applyBorder="1" applyAlignment="1" quotePrefix="1">
      <alignment vertical="center"/>
    </xf>
    <xf numFmtId="0" fontId="20" fillId="40" borderId="27" xfId="0" applyNumberFormat="1" applyFont="1" applyFill="1" applyBorder="1" applyAlignment="1" quotePrefix="1">
      <alignment horizontal="center" vertical="center" wrapText="1"/>
    </xf>
    <xf numFmtId="171" fontId="19" fillId="40" borderId="27" xfId="310" applyFont="1" applyFill="1" applyBorder="1" applyAlignment="1">
      <alignment horizontal="center" vertical="center" wrapText="1"/>
    </xf>
    <xf numFmtId="0" fontId="79" fillId="40" borderId="27" xfId="0" applyFont="1" applyFill="1" applyBorder="1" applyAlignment="1">
      <alignment vertical="center" wrapText="1"/>
    </xf>
    <xf numFmtId="171" fontId="18" fillId="40" borderId="29" xfId="310" applyFont="1" applyFill="1" applyBorder="1" applyAlignment="1">
      <alignment horizontal="center" vertical="center" wrapText="1"/>
    </xf>
    <xf numFmtId="171" fontId="19" fillId="40" borderId="29" xfId="310" applyFont="1" applyFill="1" applyBorder="1" applyAlignment="1">
      <alignment horizontal="center" vertical="center" wrapText="1"/>
    </xf>
    <xf numFmtId="171" fontId="19" fillId="40" borderId="29" xfId="310" applyFont="1" applyFill="1" applyBorder="1" applyAlignment="1">
      <alignment horizontal="center" vertical="center"/>
    </xf>
    <xf numFmtId="171" fontId="19" fillId="40" borderId="17" xfId="310" applyFont="1" applyFill="1" applyBorder="1" applyAlignment="1">
      <alignment horizontal="center" vertical="center"/>
    </xf>
    <xf numFmtId="4" fontId="20" fillId="40" borderId="29" xfId="0" applyNumberFormat="1" applyFont="1" applyFill="1" applyBorder="1" applyAlignment="1">
      <alignment horizontal="center" vertical="center"/>
    </xf>
    <xf numFmtId="10" fontId="20" fillId="40" borderId="17" xfId="0" applyNumberFormat="1" applyFont="1" applyFill="1" applyBorder="1" applyAlignment="1">
      <alignment horizontal="center" vertical="center"/>
    </xf>
    <xf numFmtId="0" fontId="20" fillId="39" borderId="19" xfId="0" applyNumberFormat="1" applyFont="1" applyFill="1" applyBorder="1" applyAlignment="1">
      <alignment horizontal="left" vertical="center"/>
    </xf>
    <xf numFmtId="0" fontId="80" fillId="0" borderId="28" xfId="0" applyFont="1" applyFill="1" applyBorder="1" applyAlignment="1">
      <alignment wrapText="1"/>
    </xf>
    <xf numFmtId="4" fontId="13" fillId="39" borderId="30" xfId="299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4" fontId="8" fillId="0" borderId="10" xfId="300" applyNumberFormat="1" applyFont="1" applyFill="1" applyBorder="1" applyAlignment="1">
      <alignment horizontal="right" vertical="center"/>
      <protection/>
    </xf>
    <xf numFmtId="4" fontId="21" fillId="33" borderId="10" xfId="0" applyNumberFormat="1" applyFont="1" applyFill="1" applyBorder="1" applyAlignment="1">
      <alignment vertical="center"/>
    </xf>
    <xf numFmtId="4" fontId="8" fillId="33" borderId="10" xfId="308" applyNumberFormat="1" applyFont="1" applyFill="1" applyBorder="1" applyAlignment="1">
      <alignment vertical="center"/>
    </xf>
    <xf numFmtId="0" fontId="20" fillId="39" borderId="19" xfId="0" applyNumberFormat="1" applyFont="1" applyFill="1" applyBorder="1" applyAlignment="1" quotePrefix="1">
      <alignment horizontal="left" vertical="center" wrapText="1"/>
    </xf>
    <xf numFmtId="4" fontId="8" fillId="0" borderId="0" xfId="300" applyNumberFormat="1" applyFont="1" applyFill="1" applyAlignment="1">
      <alignment horizontal="right" vertical="center" wrapText="1"/>
      <protection/>
    </xf>
    <xf numFmtId="0" fontId="3" fillId="0" borderId="0" xfId="300" applyFont="1" applyFill="1" applyBorder="1" applyAlignment="1">
      <alignment vertical="center" wrapText="1"/>
      <protection/>
    </xf>
    <xf numFmtId="0" fontId="3" fillId="0" borderId="0" xfId="300" applyFont="1" applyFill="1" applyBorder="1" applyAlignment="1">
      <alignment horizontal="center" vertical="center" wrapText="1"/>
      <protection/>
    </xf>
    <xf numFmtId="0" fontId="10" fillId="0" borderId="0" xfId="297" applyFont="1" applyFill="1">
      <alignment/>
      <protection/>
    </xf>
    <xf numFmtId="171" fontId="10" fillId="0" borderId="0" xfId="434" applyFont="1" applyFill="1" applyAlignment="1">
      <alignment/>
    </xf>
    <xf numFmtId="0" fontId="3" fillId="0" borderId="0" xfId="300" applyFont="1" applyFill="1" applyAlignment="1">
      <alignment horizontal="center" vertical="center" wrapText="1"/>
      <protection/>
    </xf>
    <xf numFmtId="171" fontId="3" fillId="0" borderId="0" xfId="323" applyFont="1" applyFill="1" applyAlignment="1">
      <alignment vertical="center" wrapText="1"/>
    </xf>
    <xf numFmtId="0" fontId="3" fillId="0" borderId="0" xfId="300" applyFont="1" applyFill="1" applyAlignment="1">
      <alignment vertical="center" wrapText="1"/>
      <protection/>
    </xf>
    <xf numFmtId="171" fontId="3" fillId="0" borderId="0" xfId="323" applyNumberFormat="1" applyFont="1" applyFill="1" applyAlignment="1">
      <alignment vertical="center" wrapText="1"/>
    </xf>
    <xf numFmtId="43" fontId="3" fillId="0" borderId="0" xfId="300" applyNumberFormat="1" applyFont="1" applyFill="1" applyAlignment="1">
      <alignment horizontal="right" vertical="center" wrapText="1"/>
      <protection/>
    </xf>
    <xf numFmtId="0" fontId="20" fillId="0" borderId="0" xfId="0" applyNumberFormat="1" applyFont="1" applyFill="1" applyBorder="1" applyAlignment="1" quotePrefix="1">
      <alignment horizontal="left" vertical="center" wrapText="1"/>
    </xf>
    <xf numFmtId="0" fontId="20" fillId="0" borderId="0" xfId="0" applyNumberFormat="1" applyFont="1" applyFill="1" applyBorder="1" applyAlignment="1" quotePrefix="1">
      <alignment horizontal="left" vertical="center"/>
    </xf>
    <xf numFmtId="2" fontId="80" fillId="0" borderId="29" xfId="0" applyNumberFormat="1" applyFont="1" applyBorder="1" applyAlignment="1">
      <alignment horizontal="center" vertical="center"/>
    </xf>
    <xf numFmtId="0" fontId="80" fillId="0" borderId="28" xfId="0" applyFont="1" applyBorder="1" applyAlignment="1">
      <alignment/>
    </xf>
    <xf numFmtId="0" fontId="80" fillId="0" borderId="28" xfId="0" applyFont="1" applyBorder="1" applyAlignment="1">
      <alignment wrapText="1"/>
    </xf>
    <xf numFmtId="2" fontId="80" fillId="0" borderId="28" xfId="0" applyNumberFormat="1" applyFont="1" applyBorder="1" applyAlignment="1">
      <alignment horizontal="center"/>
    </xf>
    <xf numFmtId="172" fontId="12" fillId="0" borderId="0" xfId="52" applyNumberFormat="1" applyFont="1" applyFill="1" applyBorder="1" applyAlignment="1">
      <alignment horizontal="center" vertical="center" wrapText="1"/>
      <protection/>
    </xf>
    <xf numFmtId="0" fontId="8" fillId="33" borderId="10" xfId="308" applyNumberFormat="1" applyFont="1" applyFill="1" applyBorder="1" applyAlignment="1">
      <alignment vertical="center" wrapText="1"/>
    </xf>
    <xf numFmtId="0" fontId="21" fillId="33" borderId="10" xfId="0" applyNumberFormat="1" applyFont="1" applyFill="1" applyBorder="1" applyAlignment="1">
      <alignment horizontal="left" vertical="center" wrapText="1"/>
    </xf>
    <xf numFmtId="2" fontId="85" fillId="33" borderId="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308" applyNumberFormat="1" applyFont="1" applyFill="1" applyBorder="1" applyAlignment="1" quotePrefix="1">
      <alignment horizontal="center" vertical="center" wrapText="1"/>
    </xf>
    <xf numFmtId="0" fontId="20" fillId="40" borderId="29" xfId="0" applyNumberFormat="1" applyFont="1" applyFill="1" applyBorder="1" applyAlignment="1" quotePrefix="1">
      <alignment horizontal="center" vertical="center"/>
    </xf>
    <xf numFmtId="0" fontId="8" fillId="33" borderId="0" xfId="308" applyNumberFormat="1" applyFont="1" applyFill="1" applyBorder="1" applyAlignment="1">
      <alignment vertical="center"/>
    </xf>
    <xf numFmtId="4" fontId="21" fillId="33" borderId="0" xfId="0" applyNumberFormat="1" applyFont="1" applyFill="1" applyBorder="1" applyAlignment="1">
      <alignment horizontal="center" vertical="center"/>
    </xf>
    <xf numFmtId="10" fontId="20" fillId="33" borderId="0" xfId="0" applyNumberFormat="1" applyFont="1" applyFill="1" applyBorder="1" applyAlignment="1">
      <alignment horizontal="center" vertical="center"/>
    </xf>
    <xf numFmtId="0" fontId="8" fillId="0" borderId="0" xfId="308" applyNumberFormat="1" applyFont="1" applyFill="1" applyBorder="1" applyAlignment="1">
      <alignment vertical="center"/>
    </xf>
    <xf numFmtId="0" fontId="8" fillId="0" borderId="10" xfId="308" applyNumberFormat="1" applyFont="1" applyFill="1" applyBorder="1" applyAlignment="1">
      <alignment horizontal="left" vertical="center"/>
    </xf>
    <xf numFmtId="4" fontId="87" fillId="0" borderId="10" xfId="0" applyNumberFormat="1" applyFont="1" applyFill="1" applyBorder="1" applyAlignment="1">
      <alignment horizontal="center" vertical="center"/>
    </xf>
    <xf numFmtId="10" fontId="89" fillId="0" borderId="10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0" fontId="8" fillId="33" borderId="10" xfId="445" applyNumberFormat="1" applyFont="1" applyFill="1" applyBorder="1" applyAlignment="1">
      <alignment vertical="center" wrapText="1"/>
    </xf>
    <xf numFmtId="0" fontId="8" fillId="33" borderId="10" xfId="445" applyNumberFormat="1" applyFont="1" applyFill="1" applyBorder="1" applyAlignment="1">
      <alignment horizontal="center" vertical="center" wrapText="1"/>
    </xf>
    <xf numFmtId="0" fontId="0" fillId="0" borderId="0" xfId="228" applyFont="1">
      <alignment/>
      <protection/>
    </xf>
    <xf numFmtId="2" fontId="0" fillId="0" borderId="10" xfId="228" applyNumberFormat="1" applyFont="1" applyBorder="1" applyAlignment="1">
      <alignment horizontal="center" vertical="center"/>
      <protection/>
    </xf>
    <xf numFmtId="0" fontId="50" fillId="0" borderId="0" xfId="228" applyFont="1" applyFill="1" applyBorder="1" applyAlignment="1">
      <alignment horizontal="center" vertical="center"/>
      <protection/>
    </xf>
    <xf numFmtId="0" fontId="50" fillId="39" borderId="24" xfId="228" applyFont="1" applyFill="1" applyBorder="1" applyAlignment="1">
      <alignment horizontal="center" vertical="center"/>
      <protection/>
    </xf>
    <xf numFmtId="0" fontId="50" fillId="39" borderId="26" xfId="228" applyFont="1" applyFill="1" applyBorder="1" applyAlignment="1">
      <alignment horizontal="center" vertical="center"/>
      <protection/>
    </xf>
    <xf numFmtId="0" fontId="50" fillId="39" borderId="23" xfId="228" applyFont="1" applyFill="1" applyBorder="1" applyAlignment="1">
      <alignment horizontal="center" vertical="center"/>
      <protection/>
    </xf>
    <xf numFmtId="4" fontId="3" fillId="0" borderId="0" xfId="313" applyNumberFormat="1" applyFont="1" applyFill="1" applyBorder="1" applyAlignment="1">
      <alignment horizontal="right" vertical="center" wrapText="1"/>
    </xf>
    <xf numFmtId="0" fontId="0" fillId="0" borderId="0" xfId="228" applyFont="1" applyBorder="1">
      <alignment/>
      <protection/>
    </xf>
    <xf numFmtId="2" fontId="50" fillId="39" borderId="19" xfId="228" applyNumberFormat="1" applyFont="1" applyFill="1" applyBorder="1" applyAlignment="1">
      <alignment horizontal="center"/>
      <protection/>
    </xf>
    <xf numFmtId="2" fontId="50" fillId="39" borderId="20" xfId="228" applyNumberFormat="1" applyFont="1" applyFill="1" applyBorder="1" applyAlignment="1">
      <alignment horizontal="center"/>
      <protection/>
    </xf>
    <xf numFmtId="0" fontId="77" fillId="8" borderId="10" xfId="228" applyFont="1" applyFill="1" applyBorder="1" applyAlignment="1">
      <alignment horizontal="center"/>
      <protection/>
    </xf>
    <xf numFmtId="2" fontId="77" fillId="8" borderId="10" xfId="228" applyNumberFormat="1" applyFont="1" applyFill="1" applyBorder="1" applyAlignment="1">
      <alignment horizontal="center"/>
      <protection/>
    </xf>
    <xf numFmtId="184" fontId="82" fillId="34" borderId="17" xfId="0" applyNumberFormat="1" applyFont="1" applyFill="1" applyBorder="1" applyAlignment="1">
      <alignment horizontal="right" vertical="top" wrapText="1"/>
    </xf>
    <xf numFmtId="0" fontId="0" fillId="0" borderId="10" xfId="228" applyFont="1" applyBorder="1" applyAlignment="1">
      <alignment horizontal="center" vertical="center"/>
      <protection/>
    </xf>
    <xf numFmtId="170" fontId="11" fillId="0" borderId="10" xfId="47" applyFont="1" applyFill="1" applyBorder="1" applyAlignment="1">
      <alignment vertical="center"/>
    </xf>
    <xf numFmtId="10" fontId="9" fillId="0" borderId="10" xfId="302" applyNumberFormat="1" applyFont="1" applyFill="1" applyBorder="1" applyAlignment="1">
      <alignment horizontal="center" vertical="center"/>
    </xf>
    <xf numFmtId="2" fontId="50" fillId="0" borderId="0" xfId="228" applyNumberFormat="1" applyFont="1" applyFill="1" applyBorder="1" applyAlignment="1">
      <alignment horizontal="center"/>
      <protection/>
    </xf>
    <xf numFmtId="0" fontId="50" fillId="0" borderId="0" xfId="228" applyFont="1" applyFill="1" applyBorder="1" applyAlignment="1">
      <alignment horizontal="center"/>
      <protection/>
    </xf>
    <xf numFmtId="2" fontId="77" fillId="8" borderId="16" xfId="228" applyNumberFormat="1" applyFont="1" applyFill="1" applyBorder="1" applyAlignment="1">
      <alignment horizontal="center" vertical="center"/>
      <protection/>
    </xf>
    <xf numFmtId="0" fontId="77" fillId="8" borderId="16" xfId="228" applyFont="1" applyFill="1" applyBorder="1" applyAlignment="1">
      <alignment horizontal="center" vertical="center"/>
      <protection/>
    </xf>
    <xf numFmtId="2" fontId="77" fillId="8" borderId="31" xfId="228" applyNumberFormat="1" applyFont="1" applyFill="1" applyBorder="1" applyAlignment="1">
      <alignment horizontal="center" vertical="center"/>
      <protection/>
    </xf>
    <xf numFmtId="2" fontId="77" fillId="8" borderId="12" xfId="228" applyNumberFormat="1" applyFont="1" applyFill="1" applyBorder="1" applyAlignment="1">
      <alignment horizontal="center" vertical="center"/>
      <protection/>
    </xf>
    <xf numFmtId="0" fontId="77" fillId="8" borderId="15" xfId="228" applyFont="1" applyFill="1" applyBorder="1" applyAlignment="1">
      <alignment horizontal="center" vertical="center"/>
      <protection/>
    </xf>
    <xf numFmtId="0" fontId="78" fillId="33" borderId="0" xfId="0" applyFont="1" applyFill="1" applyBorder="1" applyAlignment="1">
      <alignment/>
    </xf>
    <xf numFmtId="0" fontId="78" fillId="33" borderId="11" xfId="0" applyFont="1" applyFill="1" applyBorder="1" applyAlignment="1">
      <alignment/>
    </xf>
    <xf numFmtId="0" fontId="78" fillId="33" borderId="12" xfId="0" applyFont="1" applyFill="1" applyBorder="1" applyAlignment="1">
      <alignment/>
    </xf>
    <xf numFmtId="0" fontId="17" fillId="39" borderId="25" xfId="297" applyFont="1" applyFill="1" applyBorder="1" applyAlignment="1">
      <alignment horizontal="center" vertical="center" wrapText="1"/>
      <protection/>
    </xf>
    <xf numFmtId="0" fontId="9" fillId="39" borderId="24" xfId="297" applyFont="1" applyFill="1" applyBorder="1" applyAlignment="1">
      <alignment vertical="center"/>
      <protection/>
    </xf>
    <xf numFmtId="0" fontId="11" fillId="39" borderId="26" xfId="297" applyFont="1" applyFill="1" applyBorder="1" applyAlignment="1">
      <alignment vertical="center"/>
      <protection/>
    </xf>
    <xf numFmtId="0" fontId="9" fillId="0" borderId="0" xfId="297" applyFont="1" applyFill="1" applyBorder="1" applyAlignment="1">
      <alignment vertical="center"/>
      <protection/>
    </xf>
    <xf numFmtId="0" fontId="11" fillId="0" borderId="0" xfId="297" applyFont="1" applyFill="1" applyBorder="1" applyAlignment="1">
      <alignment vertical="center"/>
      <protection/>
    </xf>
    <xf numFmtId="171" fontId="9" fillId="0" borderId="0" xfId="297" applyNumberFormat="1" applyFont="1" applyFill="1" applyBorder="1" applyAlignment="1">
      <alignment horizontal="right" vertical="center"/>
      <protection/>
    </xf>
    <xf numFmtId="43" fontId="9" fillId="0" borderId="0" xfId="434" applyNumberFormat="1" applyFont="1" applyFill="1" applyBorder="1" applyAlignment="1">
      <alignment horizontal="right" vertical="center"/>
    </xf>
    <xf numFmtId="43" fontId="9" fillId="0" borderId="0" xfId="297" applyNumberFormat="1" applyFont="1" applyFill="1" applyBorder="1" applyAlignment="1">
      <alignment horizontal="right" vertical="center"/>
      <protection/>
    </xf>
    <xf numFmtId="9" fontId="11" fillId="39" borderId="26" xfId="302" applyFont="1" applyFill="1" applyBorder="1" applyAlignment="1">
      <alignment horizontal="center" vertical="center"/>
    </xf>
    <xf numFmtId="0" fontId="9" fillId="39" borderId="26" xfId="297" applyFont="1" applyFill="1" applyBorder="1" applyAlignment="1">
      <alignment horizontal="right" vertical="center"/>
      <protection/>
    </xf>
    <xf numFmtId="10" fontId="11" fillId="39" borderId="26" xfId="302" applyNumberFormat="1" applyFont="1" applyFill="1" applyBorder="1" applyAlignment="1">
      <alignment horizontal="right" vertical="center"/>
    </xf>
    <xf numFmtId="10" fontId="11" fillId="39" borderId="26" xfId="434" applyNumberFormat="1" applyFont="1" applyFill="1" applyBorder="1" applyAlignment="1">
      <alignment horizontal="right" vertical="center"/>
    </xf>
    <xf numFmtId="10" fontId="11" fillId="39" borderId="23" xfId="297" applyNumberFormat="1" applyFont="1" applyFill="1" applyBorder="1" applyAlignment="1">
      <alignment horizontal="center" vertical="center"/>
      <protection/>
    </xf>
    <xf numFmtId="0" fontId="21" fillId="33" borderId="0" xfId="0" applyFont="1" applyFill="1" applyAlignment="1">
      <alignment vertical="center" wrapText="1"/>
    </xf>
    <xf numFmtId="0" fontId="90" fillId="0" borderId="0" xfId="0" applyFont="1" applyAlignment="1">
      <alignment/>
    </xf>
    <xf numFmtId="0" fontId="78" fillId="0" borderId="0" xfId="0" applyFont="1" applyAlignment="1">
      <alignment/>
    </xf>
    <xf numFmtId="2" fontId="80" fillId="0" borderId="28" xfId="0" applyNumberFormat="1" applyFont="1" applyFill="1" applyBorder="1" applyAlignment="1">
      <alignment horizontal="center" vertical="center"/>
    </xf>
    <xf numFmtId="2" fontId="80" fillId="0" borderId="16" xfId="0" applyNumberFormat="1" applyFont="1" applyFill="1" applyBorder="1" applyAlignment="1">
      <alignment horizontal="center" vertical="center"/>
    </xf>
    <xf numFmtId="2" fontId="80" fillId="0" borderId="11" xfId="0" applyNumberFormat="1" applyFont="1" applyBorder="1" applyAlignment="1">
      <alignment horizontal="center" vertical="center"/>
    </xf>
    <xf numFmtId="2" fontId="80" fillId="0" borderId="12" xfId="0" applyNumberFormat="1" applyFont="1" applyBorder="1" applyAlignment="1">
      <alignment horizontal="center" vertical="center"/>
    </xf>
    <xf numFmtId="0" fontId="80" fillId="0" borderId="11" xfId="0" applyFont="1" applyBorder="1" applyAlignment="1">
      <alignment/>
    </xf>
    <xf numFmtId="2" fontId="80" fillId="0" borderId="11" xfId="0" applyNumberFormat="1" applyFont="1" applyFill="1" applyBorder="1" applyAlignment="1">
      <alignment horizontal="center" vertical="center"/>
    </xf>
    <xf numFmtId="2" fontId="80" fillId="0" borderId="12" xfId="0" applyNumberFormat="1" applyFont="1" applyFill="1" applyBorder="1" applyAlignment="1">
      <alignment horizontal="center" vertical="center"/>
    </xf>
    <xf numFmtId="2" fontId="80" fillId="0" borderId="32" xfId="0" applyNumberFormat="1" applyFont="1" applyBorder="1" applyAlignment="1">
      <alignment horizontal="center" vertical="center"/>
    </xf>
    <xf numFmtId="0" fontId="80" fillId="0" borderId="32" xfId="0" applyFont="1" applyFill="1" applyBorder="1" applyAlignment="1">
      <alignment wrapText="1"/>
    </xf>
    <xf numFmtId="2" fontId="80" fillId="0" borderId="32" xfId="0" applyNumberFormat="1" applyFont="1" applyFill="1" applyBorder="1" applyAlignment="1">
      <alignment horizontal="center" vertical="center"/>
    </xf>
    <xf numFmtId="2" fontId="80" fillId="0" borderId="2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2" fontId="80" fillId="0" borderId="33" xfId="0" applyNumberFormat="1" applyFont="1" applyBorder="1" applyAlignment="1">
      <alignment horizontal="center" vertical="center"/>
    </xf>
    <xf numFmtId="0" fontId="80" fillId="0" borderId="14" xfId="0" applyFont="1" applyFill="1" applyBorder="1" applyAlignment="1">
      <alignment wrapText="1"/>
    </xf>
    <xf numFmtId="2" fontId="80" fillId="0" borderId="13" xfId="0" applyNumberFormat="1" applyFont="1" applyBorder="1" applyAlignment="1">
      <alignment horizontal="center" vertical="center"/>
    </xf>
    <xf numFmtId="2" fontId="80" fillId="0" borderId="14" xfId="0" applyNumberFormat="1" applyFont="1" applyBorder="1" applyAlignment="1">
      <alignment horizontal="center" vertical="center"/>
    </xf>
    <xf numFmtId="2" fontId="80" fillId="0" borderId="15" xfId="0" applyNumberFormat="1" applyFont="1" applyBorder="1" applyAlignment="1">
      <alignment horizontal="center" vertical="center"/>
    </xf>
    <xf numFmtId="0" fontId="80" fillId="0" borderId="28" xfId="0" applyFont="1" applyFill="1" applyBorder="1" applyAlignment="1">
      <alignment vertical="center" wrapText="1"/>
    </xf>
    <xf numFmtId="0" fontId="80" fillId="0" borderId="16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/>
    </xf>
    <xf numFmtId="0" fontId="80" fillId="0" borderId="12" xfId="0" applyFont="1" applyFill="1" applyBorder="1" applyAlignment="1">
      <alignment/>
    </xf>
    <xf numFmtId="2" fontId="80" fillId="0" borderId="32" xfId="0" applyNumberFormat="1" applyFont="1" applyFill="1" applyBorder="1" applyAlignment="1">
      <alignment horizontal="center"/>
    </xf>
    <xf numFmtId="2" fontId="80" fillId="0" borderId="16" xfId="0" applyNumberFormat="1" applyFont="1" applyFill="1" applyBorder="1" applyAlignment="1">
      <alignment horizontal="center"/>
    </xf>
    <xf numFmtId="2" fontId="80" fillId="0" borderId="28" xfId="0" applyNumberFormat="1" applyFont="1" applyFill="1" applyBorder="1" applyAlignment="1">
      <alignment horizontal="center"/>
    </xf>
    <xf numFmtId="171" fontId="18" fillId="0" borderId="29" xfId="310" applyFont="1" applyFill="1" applyBorder="1" applyAlignment="1">
      <alignment horizontal="center" vertical="center" wrapText="1"/>
    </xf>
    <xf numFmtId="2" fontId="80" fillId="0" borderId="17" xfId="0" applyNumberFormat="1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vertical="center" wrapText="1"/>
    </xf>
    <xf numFmtId="171" fontId="19" fillId="0" borderId="32" xfId="31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/>
    </xf>
    <xf numFmtId="0" fontId="80" fillId="0" borderId="16" xfId="0" applyFont="1" applyFill="1" applyBorder="1" applyAlignment="1">
      <alignment/>
    </xf>
    <xf numFmtId="0" fontId="80" fillId="0" borderId="28" xfId="0" applyFont="1" applyFill="1" applyBorder="1" applyAlignment="1">
      <alignment/>
    </xf>
    <xf numFmtId="2" fontId="79" fillId="0" borderId="10" xfId="0" applyNumberFormat="1" applyFont="1" applyFill="1" applyBorder="1" applyAlignment="1">
      <alignment horizontal="center" vertical="center"/>
    </xf>
    <xf numFmtId="0" fontId="79" fillId="39" borderId="21" xfId="0" applyFont="1" applyFill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/>
    </xf>
    <xf numFmtId="0" fontId="80" fillId="0" borderId="12" xfId="0" applyFont="1" applyBorder="1" applyAlignment="1">
      <alignment/>
    </xf>
    <xf numFmtId="0" fontId="80" fillId="0" borderId="11" xfId="0" applyFont="1" applyFill="1" applyBorder="1" applyAlignment="1">
      <alignment/>
    </xf>
    <xf numFmtId="0" fontId="78" fillId="0" borderId="28" xfId="0" applyFont="1" applyFill="1" applyBorder="1" applyAlignment="1">
      <alignment/>
    </xf>
    <xf numFmtId="0" fontId="80" fillId="0" borderId="32" xfId="0" applyFont="1" applyBorder="1" applyAlignment="1">
      <alignment/>
    </xf>
    <xf numFmtId="0" fontId="80" fillId="0" borderId="16" xfId="0" applyFont="1" applyBorder="1" applyAlignment="1">
      <alignment/>
    </xf>
    <xf numFmtId="0" fontId="78" fillId="0" borderId="16" xfId="0" applyFont="1" applyFill="1" applyBorder="1" applyAlignment="1">
      <alignment/>
    </xf>
    <xf numFmtId="0" fontId="0" fillId="0" borderId="32" xfId="0" applyBorder="1" applyAlignment="1">
      <alignment/>
    </xf>
    <xf numFmtId="2" fontId="80" fillId="0" borderId="0" xfId="0" applyNumberFormat="1" applyFont="1" applyBorder="1" applyAlignment="1">
      <alignment horizontal="center"/>
    </xf>
    <xf numFmtId="2" fontId="80" fillId="0" borderId="12" xfId="0" applyNumberFormat="1" applyFont="1" applyBorder="1" applyAlignment="1">
      <alignment horizontal="center"/>
    </xf>
    <xf numFmtId="2" fontId="80" fillId="0" borderId="32" xfId="0" applyNumberFormat="1" applyFont="1" applyBorder="1" applyAlignment="1">
      <alignment horizontal="center"/>
    </xf>
    <xf numFmtId="2" fontId="80" fillId="0" borderId="16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2" fontId="80" fillId="0" borderId="11" xfId="0" applyNumberFormat="1" applyFont="1" applyBorder="1" applyAlignment="1">
      <alignment horizontal="center"/>
    </xf>
    <xf numFmtId="0" fontId="79" fillId="0" borderId="0" xfId="0" applyFont="1" applyFill="1" applyBorder="1" applyAlignment="1">
      <alignment vertical="center" wrapText="1"/>
    </xf>
    <xf numFmtId="0" fontId="80" fillId="0" borderId="31" xfId="0" applyFont="1" applyFill="1" applyBorder="1" applyAlignment="1">
      <alignment wrapText="1"/>
    </xf>
    <xf numFmtId="0" fontId="80" fillId="0" borderId="34" xfId="0" applyFont="1" applyFill="1" applyBorder="1" applyAlignment="1">
      <alignment/>
    </xf>
    <xf numFmtId="0" fontId="80" fillId="0" borderId="33" xfId="0" applyFont="1" applyFill="1" applyBorder="1" applyAlignment="1">
      <alignment/>
    </xf>
    <xf numFmtId="0" fontId="91" fillId="0" borderId="28" xfId="0" applyFont="1" applyFill="1" applyBorder="1" applyAlignment="1">
      <alignment wrapText="1"/>
    </xf>
    <xf numFmtId="2" fontId="80" fillId="0" borderId="34" xfId="0" applyNumberFormat="1" applyFont="1" applyFill="1" applyBorder="1" applyAlignment="1">
      <alignment horizontal="center" vertical="center"/>
    </xf>
    <xf numFmtId="0" fontId="80" fillId="0" borderId="28" xfId="0" applyFont="1" applyFill="1" applyBorder="1" applyAlignment="1">
      <alignment horizontal="left" vertical="center" wrapText="1"/>
    </xf>
    <xf numFmtId="0" fontId="8" fillId="0" borderId="10" xfId="445" applyNumberFormat="1" applyFont="1" applyFill="1" applyBorder="1" applyAlignment="1">
      <alignment horizontal="center" vertical="center" wrapText="1"/>
    </xf>
    <xf numFmtId="0" fontId="8" fillId="0" borderId="10" xfId="445" applyNumberFormat="1" applyFont="1" applyFill="1" applyBorder="1" applyAlignment="1">
      <alignment vertical="center" wrapText="1"/>
    </xf>
    <xf numFmtId="4" fontId="8" fillId="0" borderId="10" xfId="445" applyNumberFormat="1" applyFont="1" applyFill="1" applyBorder="1" applyAlignment="1">
      <alignment horizontal="right" vertical="center"/>
    </xf>
    <xf numFmtId="0" fontId="9" fillId="0" borderId="0" xfId="297" applyFont="1" applyFill="1" applyBorder="1" applyAlignment="1">
      <alignment horizontal="center" vertical="center"/>
      <protection/>
    </xf>
    <xf numFmtId="171" fontId="9" fillId="0" borderId="0" xfId="434" applyFont="1" applyFill="1" applyBorder="1" applyAlignment="1">
      <alignment horizontal="right" vertical="center"/>
    </xf>
    <xf numFmtId="43" fontId="9" fillId="0" borderId="32" xfId="434" applyNumberFormat="1" applyFont="1" applyFill="1" applyBorder="1" applyAlignment="1">
      <alignment horizontal="right" vertical="center"/>
    </xf>
    <xf numFmtId="43" fontId="9" fillId="0" borderId="32" xfId="297" applyNumberFormat="1" applyFont="1" applyFill="1" applyBorder="1" applyAlignment="1">
      <alignment horizontal="right" vertical="center"/>
      <protection/>
    </xf>
    <xf numFmtId="0" fontId="11" fillId="0" borderId="35" xfId="297" applyFont="1" applyFill="1" applyBorder="1" applyAlignment="1">
      <alignment horizontal="center" vertical="center"/>
      <protection/>
    </xf>
    <xf numFmtId="0" fontId="11" fillId="0" borderId="36" xfId="297" applyFont="1" applyFill="1" applyBorder="1" applyAlignment="1">
      <alignment vertical="center"/>
      <protection/>
    </xf>
    <xf numFmtId="10" fontId="9" fillId="0" borderId="36" xfId="302" applyNumberFormat="1" applyFont="1" applyFill="1" applyBorder="1" applyAlignment="1">
      <alignment horizontal="center" vertical="center"/>
    </xf>
    <xf numFmtId="170" fontId="11" fillId="0" borderId="36" xfId="47" applyFont="1" applyFill="1" applyBorder="1" applyAlignment="1">
      <alignment vertical="center"/>
    </xf>
    <xf numFmtId="43" fontId="9" fillId="0" borderId="36" xfId="434" applyNumberFormat="1" applyFont="1" applyFill="1" applyBorder="1" applyAlignment="1">
      <alignment horizontal="right" vertical="center"/>
    </xf>
    <xf numFmtId="43" fontId="9" fillId="0" borderId="36" xfId="434" applyNumberFormat="1" applyFont="1" applyFill="1" applyBorder="1" applyAlignment="1">
      <alignment horizontal="center" vertical="center"/>
    </xf>
    <xf numFmtId="43" fontId="9" fillId="0" borderId="37" xfId="297" applyNumberFormat="1" applyFont="1" applyFill="1" applyBorder="1" applyAlignment="1">
      <alignment horizontal="right" vertical="center"/>
      <protection/>
    </xf>
    <xf numFmtId="0" fontId="11" fillId="0" borderId="38" xfId="297" applyFont="1" applyFill="1" applyBorder="1" applyAlignment="1">
      <alignment horizontal="center" vertical="center"/>
      <protection/>
    </xf>
    <xf numFmtId="43" fontId="9" fillId="0" borderId="39" xfId="297" applyNumberFormat="1" applyFont="1" applyFill="1" applyBorder="1" applyAlignment="1">
      <alignment horizontal="right" vertical="center"/>
      <protection/>
    </xf>
    <xf numFmtId="0" fontId="11" fillId="0" borderId="40" xfId="297" applyFont="1" applyFill="1" applyBorder="1" applyAlignment="1">
      <alignment horizontal="center" vertical="center"/>
      <protection/>
    </xf>
    <xf numFmtId="10" fontId="9" fillId="0" borderId="25" xfId="302" applyNumberFormat="1" applyFont="1" applyFill="1" applyBorder="1" applyAlignment="1">
      <alignment horizontal="center" vertical="center"/>
    </xf>
    <xf numFmtId="170" fontId="11" fillId="0" borderId="25" xfId="47" applyFont="1" applyFill="1" applyBorder="1" applyAlignment="1">
      <alignment vertical="center"/>
    </xf>
    <xf numFmtId="43" fontId="9" fillId="0" borderId="25" xfId="434" applyNumberFormat="1" applyFont="1" applyFill="1" applyBorder="1" applyAlignment="1">
      <alignment horizontal="right" vertical="center"/>
    </xf>
    <xf numFmtId="43" fontId="9" fillId="0" borderId="25" xfId="434" applyNumberFormat="1" applyFont="1" applyFill="1" applyBorder="1" applyAlignment="1">
      <alignment horizontal="center" vertical="center"/>
    </xf>
    <xf numFmtId="43" fontId="9" fillId="0" borderId="41" xfId="297" applyNumberFormat="1" applyFont="1" applyFill="1" applyBorder="1" applyAlignment="1">
      <alignment horizontal="right" vertical="center"/>
      <protection/>
    </xf>
    <xf numFmtId="0" fontId="3" fillId="0" borderId="42" xfId="0" applyNumberFormat="1" applyFont="1" applyFill="1" applyBorder="1" applyAlignment="1">
      <alignment horizontal="center" vertical="center"/>
    </xf>
    <xf numFmtId="2" fontId="3" fillId="0" borderId="43" xfId="0" applyNumberFormat="1" applyFont="1" applyBorder="1" applyAlignment="1">
      <alignment horizontal="right" vertical="center" wrapText="1"/>
    </xf>
    <xf numFmtId="2" fontId="3" fillId="0" borderId="43" xfId="0" applyNumberFormat="1" applyFont="1" applyFill="1" applyBorder="1" applyAlignment="1">
      <alignment horizontal="right" vertical="center" wrapText="1"/>
    </xf>
    <xf numFmtId="0" fontId="85" fillId="37" borderId="43" xfId="0" applyFont="1" applyFill="1" applyBorder="1" applyAlignment="1">
      <alignment horizontal="center" vertical="center"/>
    </xf>
    <xf numFmtId="2" fontId="86" fillId="0" borderId="43" xfId="0" applyNumberFormat="1" applyFont="1" applyBorder="1" applyAlignment="1">
      <alignment horizontal="right" vertical="center" wrapText="1"/>
    </xf>
    <xf numFmtId="2" fontId="85" fillId="0" borderId="43" xfId="0" applyNumberFormat="1" applyFont="1" applyBorder="1" applyAlignment="1">
      <alignment horizontal="right" vertical="center" wrapText="1"/>
    </xf>
    <xf numFmtId="2" fontId="85" fillId="37" borderId="44" xfId="0" applyNumberFormat="1" applyFont="1" applyFill="1" applyBorder="1" applyAlignment="1">
      <alignment horizontal="right" vertical="center" wrapText="1"/>
    </xf>
    <xf numFmtId="0" fontId="88" fillId="39" borderId="42" xfId="0" applyFont="1" applyFill="1" applyBorder="1" applyAlignment="1">
      <alignment horizontal="center" vertical="center" wrapText="1"/>
    </xf>
    <xf numFmtId="0" fontId="88" fillId="39" borderId="43" xfId="0" applyFont="1" applyFill="1" applyBorder="1" applyAlignment="1">
      <alignment horizontal="center" vertical="center" wrapText="1"/>
    </xf>
    <xf numFmtId="2" fontId="80" fillId="0" borderId="31" xfId="0" applyNumberFormat="1" applyFont="1" applyBorder="1" applyAlignment="1">
      <alignment horizontal="center" vertical="center"/>
    </xf>
    <xf numFmtId="0" fontId="20" fillId="40" borderId="19" xfId="0" applyNumberFormat="1" applyFont="1" applyFill="1" applyBorder="1" applyAlignment="1">
      <alignment horizontal="left" vertical="center" wrapText="1"/>
    </xf>
    <xf numFmtId="0" fontId="21" fillId="40" borderId="19" xfId="0" applyNumberFormat="1" applyFont="1" applyFill="1" applyBorder="1" applyAlignment="1">
      <alignment horizontal="center" vertical="center" wrapText="1"/>
    </xf>
    <xf numFmtId="4" fontId="20" fillId="40" borderId="22" xfId="0" applyNumberFormat="1" applyFont="1" applyFill="1" applyBorder="1" applyAlignment="1">
      <alignment horizontal="center" vertical="center"/>
    </xf>
    <xf numFmtId="10" fontId="20" fillId="40" borderId="23" xfId="0" applyNumberFormat="1" applyFont="1" applyFill="1" applyBorder="1" applyAlignment="1">
      <alignment horizontal="center" vertical="center"/>
    </xf>
    <xf numFmtId="4" fontId="22" fillId="39" borderId="22" xfId="0" applyNumberFormat="1" applyFont="1" applyFill="1" applyBorder="1" applyAlignment="1">
      <alignment horizontal="center" vertical="center"/>
    </xf>
    <xf numFmtId="0" fontId="22" fillId="39" borderId="19" xfId="0" applyNumberFormat="1" applyFont="1" applyFill="1" applyBorder="1" applyAlignment="1" quotePrefix="1">
      <alignment horizontal="left" vertical="center"/>
    </xf>
    <xf numFmtId="2" fontId="79" fillId="0" borderId="16" xfId="0" applyNumberFormat="1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2" fontId="80" fillId="0" borderId="34" xfId="0" applyNumberFormat="1" applyFont="1" applyBorder="1" applyAlignment="1">
      <alignment horizontal="center" vertical="center"/>
    </xf>
    <xf numFmtId="2" fontId="80" fillId="0" borderId="13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vertical="center" wrapText="1"/>
    </xf>
    <xf numFmtId="0" fontId="80" fillId="0" borderId="16" xfId="0" applyFont="1" applyFill="1" applyBorder="1" applyAlignment="1">
      <alignment horizontal="left" vertical="center" wrapText="1"/>
    </xf>
    <xf numFmtId="2" fontId="80" fillId="0" borderId="32" xfId="0" applyNumberFormat="1" applyFont="1" applyBorder="1" applyAlignment="1">
      <alignment horizontal="center" vertical="center" wrapText="1"/>
    </xf>
    <xf numFmtId="0" fontId="80" fillId="0" borderId="28" xfId="0" applyFont="1" applyBorder="1" applyAlignment="1">
      <alignment vertical="center"/>
    </xf>
    <xf numFmtId="0" fontId="80" fillId="0" borderId="0" xfId="0" applyFont="1" applyFill="1" applyBorder="1" applyAlignment="1">
      <alignment vertical="center" wrapText="1"/>
    </xf>
    <xf numFmtId="0" fontId="80" fillId="0" borderId="12" xfId="0" applyFont="1" applyFill="1" applyBorder="1" applyAlignment="1">
      <alignment wrapText="1"/>
    </xf>
    <xf numFmtId="0" fontId="80" fillId="0" borderId="34" xfId="0" applyFont="1" applyFill="1" applyBorder="1" applyAlignment="1">
      <alignment vertical="center" wrapText="1"/>
    </xf>
    <xf numFmtId="0" fontId="80" fillId="0" borderId="29" xfId="0" applyFont="1" applyBorder="1" applyAlignment="1">
      <alignment/>
    </xf>
    <xf numFmtId="2" fontId="79" fillId="0" borderId="0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2" fontId="80" fillId="0" borderId="10" xfId="0" applyNumberFormat="1" applyFont="1" applyBorder="1" applyAlignment="1">
      <alignment horizontal="center"/>
    </xf>
    <xf numFmtId="0" fontId="3" fillId="33" borderId="10" xfId="445" applyNumberFormat="1" applyFont="1" applyFill="1" applyBorder="1" applyAlignment="1">
      <alignment horizontal="center" vertical="center" wrapText="1"/>
    </xf>
    <xf numFmtId="0" fontId="3" fillId="33" borderId="10" xfId="445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171" fontId="8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0" fillId="40" borderId="19" xfId="0" applyNumberFormat="1" applyFont="1" applyFill="1" applyBorder="1" applyAlignment="1">
      <alignment horizontal="left" vertical="center"/>
    </xf>
    <xf numFmtId="2" fontId="79" fillId="0" borderId="10" xfId="0" applyNumberFormat="1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14" xfId="0" applyFont="1" applyBorder="1" applyAlignment="1">
      <alignment wrapText="1"/>
    </xf>
    <xf numFmtId="0" fontId="80" fillId="0" borderId="28" xfId="0" applyFont="1" applyBorder="1" applyAlignment="1">
      <alignment horizontal="center"/>
    </xf>
    <xf numFmtId="0" fontId="80" fillId="0" borderId="16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 wrapText="1"/>
    </xf>
    <xf numFmtId="0" fontId="11" fillId="0" borderId="10" xfId="297" applyFont="1" applyFill="1" applyBorder="1" applyAlignment="1">
      <alignment vertical="center" wrapText="1"/>
      <protection/>
    </xf>
    <xf numFmtId="171" fontId="18" fillId="0" borderId="28" xfId="310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171" fontId="80" fillId="0" borderId="11" xfId="0" applyNumberFormat="1" applyFont="1" applyFill="1" applyBorder="1" applyAlignment="1">
      <alignment wrapText="1"/>
    </xf>
    <xf numFmtId="0" fontId="80" fillId="0" borderId="11" xfId="0" applyFont="1" applyFill="1" applyBorder="1" applyAlignment="1">
      <alignment vertical="center" wrapText="1"/>
    </xf>
    <xf numFmtId="0" fontId="8" fillId="0" borderId="10" xfId="435" applyNumberFormat="1" applyFont="1" applyFill="1" applyBorder="1" applyAlignment="1">
      <alignment horizontal="left" vertical="center" wrapText="1"/>
    </xf>
    <xf numFmtId="171" fontId="8" fillId="0" borderId="10" xfId="445" applyFont="1" applyFill="1" applyBorder="1" applyAlignment="1">
      <alignment vertical="center" wrapText="1"/>
    </xf>
    <xf numFmtId="0" fontId="80" fillId="0" borderId="31" xfId="0" applyFont="1" applyFill="1" applyBorder="1" applyAlignment="1">
      <alignment vertical="center" wrapText="1"/>
    </xf>
    <xf numFmtId="0" fontId="79" fillId="39" borderId="21" xfId="0" applyFont="1" applyFill="1" applyBorder="1" applyAlignment="1">
      <alignment horizontal="left" vertical="center"/>
    </xf>
    <xf numFmtId="0" fontId="79" fillId="40" borderId="27" xfId="0" applyFont="1" applyFill="1" applyBorder="1" applyAlignment="1">
      <alignment horizontal="left" vertical="center" wrapText="1"/>
    </xf>
    <xf numFmtId="0" fontId="79" fillId="40" borderId="27" xfId="0" applyFont="1" applyFill="1" applyBorder="1" applyAlignment="1">
      <alignment horizontal="left" vertical="center"/>
    </xf>
    <xf numFmtId="0" fontId="79" fillId="39" borderId="21" xfId="0" applyFont="1" applyFill="1" applyBorder="1" applyAlignment="1">
      <alignment vertical="center"/>
    </xf>
    <xf numFmtId="0" fontId="79" fillId="39" borderId="19" xfId="0" applyFont="1" applyFill="1" applyBorder="1" applyAlignment="1">
      <alignment vertical="center"/>
    </xf>
    <xf numFmtId="0" fontId="78" fillId="0" borderId="32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80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80" fillId="0" borderId="0" xfId="0" applyFont="1" applyBorder="1" applyAlignment="1">
      <alignment vertical="center"/>
    </xf>
    <xf numFmtId="0" fontId="91" fillId="0" borderId="14" xfId="0" applyFont="1" applyFill="1" applyBorder="1" applyAlignment="1">
      <alignment wrapText="1"/>
    </xf>
    <xf numFmtId="0" fontId="80" fillId="0" borderId="32" xfId="0" applyFont="1" applyBorder="1" applyAlignment="1">
      <alignment vertical="center"/>
    </xf>
    <xf numFmtId="0" fontId="91" fillId="0" borderId="28" xfId="0" applyFont="1" applyFill="1" applyBorder="1" applyAlignment="1">
      <alignment vertical="center" wrapText="1"/>
    </xf>
    <xf numFmtId="0" fontId="91" fillId="0" borderId="32" xfId="0" applyFont="1" applyFill="1" applyBorder="1" applyAlignment="1">
      <alignment vertical="center" wrapText="1"/>
    </xf>
    <xf numFmtId="0" fontId="80" fillId="0" borderId="13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" fillId="0" borderId="10" xfId="445" applyNumberFormat="1" applyFont="1" applyFill="1" applyBorder="1" applyAlignment="1">
      <alignment horizontal="left" vertical="center"/>
    </xf>
    <xf numFmtId="0" fontId="8" fillId="0" borderId="10" xfId="445" applyNumberFormat="1" applyFont="1" applyFill="1" applyBorder="1" applyAlignment="1" quotePrefix="1">
      <alignment horizontal="center" vertical="center" wrapText="1"/>
    </xf>
    <xf numFmtId="0" fontId="8" fillId="0" borderId="10" xfId="445" applyNumberFormat="1" applyFont="1" applyFill="1" applyBorder="1" applyAlignment="1">
      <alignment horizontal="left" vertical="center" wrapText="1"/>
    </xf>
    <xf numFmtId="0" fontId="8" fillId="0" borderId="10" xfId="445" applyNumberFormat="1" applyFont="1" applyFill="1" applyBorder="1" applyAlignment="1">
      <alignment vertical="center"/>
    </xf>
    <xf numFmtId="0" fontId="80" fillId="0" borderId="13" xfId="0" applyFont="1" applyBorder="1" applyAlignment="1">
      <alignment wrapText="1"/>
    </xf>
    <xf numFmtId="0" fontId="80" fillId="0" borderId="32" xfId="0" applyFont="1" applyFill="1" applyBorder="1" applyAlignment="1">
      <alignment horizontal="left" vertical="center" wrapText="1"/>
    </xf>
    <xf numFmtId="2" fontId="80" fillId="0" borderId="16" xfId="0" applyNumberFormat="1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 wrapText="1"/>
    </xf>
    <xf numFmtId="2" fontId="79" fillId="0" borderId="28" xfId="0" applyNumberFormat="1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4" fontId="8" fillId="33" borderId="10" xfId="445" applyNumberFormat="1" applyFont="1" applyFill="1" applyBorder="1" applyAlignment="1">
      <alignment horizontal="right" vertical="center"/>
    </xf>
    <xf numFmtId="0" fontId="8" fillId="33" borderId="10" xfId="445" applyNumberFormat="1" applyFont="1" applyFill="1" applyBorder="1" applyAlignment="1">
      <alignment horizontal="left" vertical="center"/>
    </xf>
    <xf numFmtId="0" fontId="3" fillId="33" borderId="10" xfId="445" applyNumberFormat="1" applyFont="1" applyFill="1" applyBorder="1" applyAlignment="1">
      <alignment vertical="center" wrapText="1"/>
    </xf>
    <xf numFmtId="2" fontId="85" fillId="37" borderId="0" xfId="51" applyNumberFormat="1" applyFont="1" applyFill="1" applyBorder="1" applyAlignment="1">
      <alignment vertical="top" wrapText="1"/>
      <protection/>
    </xf>
    <xf numFmtId="0" fontId="85" fillId="37" borderId="0" xfId="51" applyFont="1" applyFill="1" applyBorder="1" applyAlignment="1">
      <alignment vertical="top" wrapText="1"/>
      <protection/>
    </xf>
    <xf numFmtId="0" fontId="85" fillId="37" borderId="0" xfId="51" applyFont="1" applyFill="1" applyBorder="1" applyAlignment="1">
      <alignment horizontal="right" vertical="top"/>
      <protection/>
    </xf>
    <xf numFmtId="0" fontId="85" fillId="37" borderId="43" xfId="51" applyFont="1" applyFill="1" applyBorder="1" applyAlignment="1">
      <alignment horizontal="center" vertical="top"/>
      <protection/>
    </xf>
    <xf numFmtId="0" fontId="86" fillId="0" borderId="42" xfId="51" applyFont="1" applyBorder="1" applyAlignment="1">
      <alignment horizontal="center" vertical="top" wrapText="1"/>
      <protection/>
    </xf>
    <xf numFmtId="0" fontId="86" fillId="0" borderId="0" xfId="51" applyFont="1" applyBorder="1" applyAlignment="1">
      <alignment horizontal="center" vertical="top" wrapText="1"/>
      <protection/>
    </xf>
    <xf numFmtId="0" fontId="86" fillId="0" borderId="43" xfId="51" applyFont="1" applyBorder="1" applyAlignment="1">
      <alignment horizontal="center" vertical="top" wrapText="1"/>
      <protection/>
    </xf>
    <xf numFmtId="0" fontId="86" fillId="0" borderId="42" xfId="51" applyFont="1" applyBorder="1" applyAlignment="1">
      <alignment horizontal="center" vertical="center" wrapText="1"/>
      <protection/>
    </xf>
    <xf numFmtId="0" fontId="86" fillId="0" borderId="0" xfId="51" applyFont="1" applyBorder="1" applyAlignment="1">
      <alignment horizontal="center" vertical="center" wrapText="1"/>
      <protection/>
    </xf>
    <xf numFmtId="2" fontId="86" fillId="0" borderId="0" xfId="51" applyNumberFormat="1" applyFont="1" applyBorder="1" applyAlignment="1">
      <alignment horizontal="right" vertical="center" wrapText="1"/>
      <protection/>
    </xf>
    <xf numFmtId="2" fontId="85" fillId="0" borderId="43" xfId="51" applyNumberFormat="1" applyFont="1" applyBorder="1" applyAlignment="1">
      <alignment horizontal="right" vertical="top" wrapText="1"/>
      <protection/>
    </xf>
    <xf numFmtId="0" fontId="78" fillId="0" borderId="42" xfId="51" applyFont="1" applyFill="1" applyBorder="1" applyAlignment="1">
      <alignment horizontal="center" vertical="center" wrapText="1"/>
      <protection/>
    </xf>
    <xf numFmtId="0" fontId="78" fillId="0" borderId="0" xfId="51" applyFont="1" applyFill="1" applyBorder="1" applyAlignment="1">
      <alignment horizontal="center" vertical="center" wrapText="1"/>
      <protection/>
    </xf>
    <xf numFmtId="2" fontId="78" fillId="0" borderId="0" xfId="51" applyNumberFormat="1" applyFont="1" applyFill="1" applyBorder="1" applyAlignment="1">
      <alignment horizontal="right" vertical="center" wrapText="1"/>
      <protection/>
    </xf>
    <xf numFmtId="2" fontId="78" fillId="0" borderId="43" xfId="0" applyNumberFormat="1" applyFont="1" applyFill="1" applyBorder="1" applyAlignment="1">
      <alignment horizontal="right" vertical="center" wrapText="1"/>
    </xf>
    <xf numFmtId="0" fontId="92" fillId="0" borderId="0" xfId="51" applyFont="1" applyFill="1" applyBorder="1" applyAlignment="1">
      <alignment horizontal="right" vertical="center" wrapText="1"/>
      <protection/>
    </xf>
    <xf numFmtId="0" fontId="86" fillId="0" borderId="0" xfId="51" applyFont="1" applyFill="1" applyBorder="1" applyAlignment="1">
      <alignment horizontal="center" vertical="center" wrapText="1"/>
      <protection/>
    </xf>
    <xf numFmtId="2" fontId="86" fillId="0" borderId="0" xfId="51" applyNumberFormat="1" applyFont="1" applyFill="1" applyBorder="1" applyAlignment="1">
      <alignment horizontal="right" vertical="center" wrapText="1"/>
      <protection/>
    </xf>
    <xf numFmtId="2" fontId="85" fillId="37" borderId="44" xfId="51" applyNumberFormat="1" applyFont="1" applyFill="1" applyBorder="1" applyAlignment="1">
      <alignment horizontal="right" vertical="top" wrapText="1"/>
      <protection/>
    </xf>
    <xf numFmtId="0" fontId="3" fillId="41" borderId="0" xfId="0" applyFont="1" applyFill="1" applyBorder="1" applyAlignment="1">
      <alignment horizontal="center" vertical="center" wrapText="1"/>
    </xf>
    <xf numFmtId="0" fontId="86" fillId="41" borderId="0" xfId="0" applyFont="1" applyFill="1" applyBorder="1" applyAlignment="1">
      <alignment horizontal="right" vertical="center" wrapText="1"/>
    </xf>
    <xf numFmtId="2" fontId="85" fillId="41" borderId="0" xfId="0" applyNumberFormat="1" applyFont="1" applyFill="1" applyBorder="1" applyAlignment="1">
      <alignment horizontal="right" vertical="center" wrapText="1"/>
    </xf>
    <xf numFmtId="43" fontId="8" fillId="0" borderId="10" xfId="445" applyNumberFormat="1" applyFont="1" applyFill="1" applyBorder="1" applyAlignment="1">
      <alignment vertical="center"/>
    </xf>
    <xf numFmtId="43" fontId="8" fillId="0" borderId="16" xfId="445" applyNumberFormat="1" applyFont="1" applyFill="1" applyBorder="1" applyAlignment="1">
      <alignment vertical="center"/>
    </xf>
    <xf numFmtId="171" fontId="8" fillId="33" borderId="10" xfId="445" applyFont="1" applyFill="1" applyBorder="1" applyAlignment="1">
      <alignment vertical="center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4" fontId="8" fillId="33" borderId="10" xfId="445" applyNumberFormat="1" applyFont="1" applyFill="1" applyBorder="1" applyAlignment="1">
      <alignment vertical="center"/>
    </xf>
    <xf numFmtId="2" fontId="79" fillId="0" borderId="28" xfId="0" applyNumberFormat="1" applyFont="1" applyFill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10" fontId="19" fillId="39" borderId="23" xfId="0" applyNumberFormat="1" applyFont="1" applyFill="1" applyBorder="1" applyAlignment="1">
      <alignment horizontal="center" vertical="center"/>
    </xf>
    <xf numFmtId="2" fontId="80" fillId="0" borderId="17" xfId="0" applyNumberFormat="1" applyFont="1" applyBorder="1" applyAlignment="1">
      <alignment horizontal="center" vertical="center"/>
    </xf>
    <xf numFmtId="2" fontId="80" fillId="0" borderId="27" xfId="0" applyNumberFormat="1" applyFont="1" applyFill="1" applyBorder="1" applyAlignment="1">
      <alignment horizontal="center" vertical="center"/>
    </xf>
    <xf numFmtId="0" fontId="80" fillId="0" borderId="28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/>
    </xf>
    <xf numFmtId="2" fontId="79" fillId="0" borderId="34" xfId="0" applyNumberFormat="1" applyFont="1" applyBorder="1" applyAlignment="1">
      <alignment horizontal="center" vertical="center"/>
    </xf>
    <xf numFmtId="2" fontId="79" fillId="0" borderId="28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2" fontId="80" fillId="0" borderId="28" xfId="0" applyNumberFormat="1" applyFont="1" applyBorder="1" applyAlignment="1">
      <alignment horizontal="center" wrapText="1"/>
    </xf>
    <xf numFmtId="0" fontId="80" fillId="0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79" fillId="0" borderId="28" xfId="0" applyNumberFormat="1" applyFont="1" applyFill="1" applyBorder="1" applyAlignment="1">
      <alignment horizontal="center" vertical="center"/>
    </xf>
    <xf numFmtId="171" fontId="18" fillId="0" borderId="16" xfId="310" applyFont="1" applyFill="1" applyBorder="1" applyAlignment="1">
      <alignment horizontal="center" vertical="center" wrapText="1"/>
    </xf>
    <xf numFmtId="2" fontId="79" fillId="0" borderId="28" xfId="0" applyNumberFormat="1" applyFont="1" applyBorder="1" applyAlignment="1">
      <alignment horizontal="center" vertical="center"/>
    </xf>
    <xf numFmtId="2" fontId="79" fillId="0" borderId="17" xfId="0" applyNumberFormat="1" applyFont="1" applyBorder="1" applyAlignment="1">
      <alignment horizontal="center" vertical="center"/>
    </xf>
    <xf numFmtId="2" fontId="79" fillId="0" borderId="34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171" fontId="18" fillId="0" borderId="11" xfId="31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171" fontId="18" fillId="0" borderId="13" xfId="31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6" fillId="37" borderId="42" xfId="0" applyFont="1" applyFill="1" applyBorder="1" applyAlignment="1">
      <alignment horizontal="center" vertical="center" wrapText="1"/>
    </xf>
    <xf numFmtId="0" fontId="86" fillId="37" borderId="0" xfId="0" applyFont="1" applyFill="1" applyBorder="1" applyAlignment="1">
      <alignment horizontal="center" vertical="center" wrapText="1"/>
    </xf>
    <xf numFmtId="0" fontId="86" fillId="37" borderId="43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 wrapText="1"/>
    </xf>
    <xf numFmtId="0" fontId="86" fillId="0" borderId="42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0" fillId="39" borderId="19" xfId="228" applyFont="1" applyFill="1" applyBorder="1" applyAlignment="1">
      <alignment horizontal="center"/>
      <protection/>
    </xf>
    <xf numFmtId="43" fontId="8" fillId="0" borderId="16" xfId="308" applyNumberFormat="1" applyFont="1" applyFill="1" applyBorder="1" applyAlignment="1">
      <alignment vertical="center"/>
    </xf>
    <xf numFmtId="0" fontId="21" fillId="33" borderId="16" xfId="0" applyNumberFormat="1" applyFont="1" applyFill="1" applyBorder="1" applyAlignment="1" quotePrefix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wrapText="1"/>
    </xf>
    <xf numFmtId="0" fontId="80" fillId="0" borderId="29" xfId="0" applyFont="1" applyFill="1" applyBorder="1" applyAlignment="1">
      <alignment vertical="center" wrapText="1"/>
    </xf>
    <xf numFmtId="0" fontId="80" fillId="0" borderId="10" xfId="0" applyFont="1" applyBorder="1" applyAlignment="1">
      <alignment vertical="center"/>
    </xf>
    <xf numFmtId="2" fontId="7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1" fillId="0" borderId="32" xfId="0" applyFont="1" applyFill="1" applyBorder="1" applyAlignment="1">
      <alignment wrapText="1"/>
    </xf>
    <xf numFmtId="0" fontId="8" fillId="0" borderId="10" xfId="435" applyNumberFormat="1" applyFont="1" applyFill="1" applyBorder="1" applyAlignment="1" quotePrefix="1">
      <alignment horizontal="center" vertical="center" wrapText="1"/>
    </xf>
    <xf numFmtId="0" fontId="8" fillId="0" borderId="10" xfId="435" applyNumberFormat="1" applyFont="1" applyFill="1" applyBorder="1" applyAlignment="1">
      <alignment horizontal="left" vertical="center"/>
    </xf>
    <xf numFmtId="171" fontId="8" fillId="0" borderId="10" xfId="445" applyFont="1" applyFill="1" applyBorder="1" applyAlignment="1">
      <alignment vertical="center"/>
    </xf>
    <xf numFmtId="0" fontId="80" fillId="0" borderId="29" xfId="0" applyFont="1" applyFill="1" applyBorder="1" applyAlignment="1">
      <alignment horizontal="center" vertical="center"/>
    </xf>
    <xf numFmtId="2" fontId="79" fillId="0" borderId="17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80" fillId="0" borderId="29" xfId="0" applyFont="1" applyBorder="1" applyAlignment="1">
      <alignment horizontal="center" vertical="center" wrapText="1"/>
    </xf>
    <xf numFmtId="0" fontId="80" fillId="0" borderId="27" xfId="0" applyFont="1" applyFill="1" applyBorder="1" applyAlignment="1">
      <alignment vertical="center" wrapText="1"/>
    </xf>
    <xf numFmtId="0" fontId="80" fillId="0" borderId="15" xfId="0" applyFont="1" applyFill="1" applyBorder="1" applyAlignment="1">
      <alignment wrapText="1"/>
    </xf>
    <xf numFmtId="2" fontId="80" fillId="0" borderId="31" xfId="0" applyNumberFormat="1" applyFont="1" applyBorder="1" applyAlignment="1">
      <alignment horizontal="center"/>
    </xf>
    <xf numFmtId="0" fontId="91" fillId="0" borderId="16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wrapText="1"/>
    </xf>
    <xf numFmtId="0" fontId="0" fillId="0" borderId="16" xfId="0" applyBorder="1" applyAlignment="1">
      <alignment vertical="center"/>
    </xf>
    <xf numFmtId="0" fontId="80" fillId="0" borderId="31" xfId="0" applyFont="1" applyFill="1" applyBorder="1" applyAlignment="1">
      <alignment/>
    </xf>
    <xf numFmtId="2" fontId="80" fillId="0" borderId="34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80" fillId="0" borderId="29" xfId="0" applyFont="1" applyBorder="1" applyAlignment="1">
      <alignment vertical="center"/>
    </xf>
    <xf numFmtId="0" fontId="80" fillId="0" borderId="32" xfId="0" applyFont="1" applyBorder="1" applyAlignment="1">
      <alignment horizontal="center"/>
    </xf>
    <xf numFmtId="0" fontId="80" fillId="0" borderId="16" xfId="0" applyFont="1" applyBorder="1" applyAlignment="1">
      <alignment vertical="center"/>
    </xf>
    <xf numFmtId="0" fontId="8" fillId="33" borderId="10" xfId="445" applyNumberFormat="1" applyFont="1" applyFill="1" applyBorder="1" applyAlignment="1">
      <alignment vertical="center"/>
    </xf>
    <xf numFmtId="0" fontId="8" fillId="33" borderId="10" xfId="445" applyNumberFormat="1" applyFont="1" applyFill="1" applyBorder="1" applyAlignment="1" quotePrefix="1">
      <alignment horizontal="center" vertical="center" wrapText="1"/>
    </xf>
    <xf numFmtId="0" fontId="8" fillId="33" borderId="10" xfId="445" applyNumberFormat="1" applyFont="1" applyFill="1" applyBorder="1" applyAlignment="1">
      <alignment horizontal="left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0" fontId="8" fillId="0" borderId="0" xfId="308" applyNumberFormat="1" applyFont="1" applyFill="1" applyBorder="1" applyAlignment="1">
      <alignment horizontal="left" vertical="center"/>
    </xf>
    <xf numFmtId="4" fontId="8" fillId="0" borderId="0" xfId="445" applyNumberFormat="1" applyFont="1" applyFill="1" applyBorder="1" applyAlignment="1">
      <alignment horizontal="right" vertical="center"/>
    </xf>
    <xf numFmtId="4" fontId="21" fillId="0" borderId="33" xfId="0" applyNumberFormat="1" applyFont="1" applyFill="1" applyBorder="1" applyAlignment="1">
      <alignment horizontal="right" vertical="center"/>
    </xf>
    <xf numFmtId="4" fontId="21" fillId="0" borderId="33" xfId="0" applyNumberFormat="1" applyFont="1" applyFill="1" applyBorder="1" applyAlignment="1">
      <alignment horizontal="center" vertical="center"/>
    </xf>
    <xf numFmtId="10" fontId="20" fillId="0" borderId="14" xfId="0" applyNumberFormat="1" applyFont="1" applyFill="1" applyBorder="1" applyAlignment="1">
      <alignment horizontal="center" vertical="center"/>
    </xf>
    <xf numFmtId="2" fontId="80" fillId="0" borderId="27" xfId="0" applyNumberFormat="1" applyFont="1" applyBorder="1" applyAlignment="1">
      <alignment horizontal="center" vertical="center"/>
    </xf>
    <xf numFmtId="2" fontId="80" fillId="0" borderId="13" xfId="0" applyNumberFormat="1" applyFont="1" applyBorder="1" applyAlignment="1">
      <alignment horizontal="center"/>
    </xf>
    <xf numFmtId="2" fontId="80" fillId="0" borderId="15" xfId="0" applyNumberFormat="1" applyFont="1" applyBorder="1" applyAlignment="1">
      <alignment horizontal="center"/>
    </xf>
    <xf numFmtId="0" fontId="79" fillId="0" borderId="32" xfId="0" applyFont="1" applyFill="1" applyBorder="1" applyAlignment="1">
      <alignment vertical="center" wrapText="1"/>
    </xf>
    <xf numFmtId="2" fontId="80" fillId="0" borderId="29" xfId="0" applyNumberFormat="1" applyFont="1" applyBorder="1" applyAlignment="1">
      <alignment horizontal="center"/>
    </xf>
    <xf numFmtId="0" fontId="80" fillId="0" borderId="17" xfId="0" applyFont="1" applyBorder="1" applyAlignment="1">
      <alignment horizontal="center" vertical="center"/>
    </xf>
    <xf numFmtId="0" fontId="80" fillId="0" borderId="17" xfId="0" applyFont="1" applyBorder="1" applyAlignment="1">
      <alignment/>
    </xf>
    <xf numFmtId="0" fontId="93" fillId="0" borderId="32" xfId="0" applyFont="1" applyFill="1" applyBorder="1" applyAlignment="1">
      <alignment vertical="center" wrapText="1"/>
    </xf>
    <xf numFmtId="0" fontId="93" fillId="0" borderId="28" xfId="0" applyFont="1" applyFill="1" applyBorder="1" applyAlignment="1">
      <alignment vertical="center" wrapText="1"/>
    </xf>
    <xf numFmtId="182" fontId="86" fillId="0" borderId="0" xfId="0" applyNumberFormat="1" applyFont="1" applyBorder="1" applyAlignment="1">
      <alignment horizontal="right" vertical="center" wrapText="1"/>
    </xf>
    <xf numFmtId="0" fontId="3" fillId="37" borderId="0" xfId="0" applyFont="1" applyFill="1" applyBorder="1" applyAlignment="1">
      <alignment vertical="center" wrapText="1"/>
    </xf>
    <xf numFmtId="0" fontId="3" fillId="37" borderId="43" xfId="0" applyFont="1" applyFill="1" applyBorder="1" applyAlignment="1">
      <alignment vertical="center" wrapText="1"/>
    </xf>
    <xf numFmtId="2" fontId="4" fillId="37" borderId="0" xfId="0" applyNumberFormat="1" applyFont="1" applyFill="1" applyBorder="1" applyAlignment="1">
      <alignment vertical="center" wrapText="1"/>
    </xf>
    <xf numFmtId="0" fontId="4" fillId="37" borderId="0" xfId="0" applyFont="1" applyFill="1" applyBorder="1" applyAlignment="1">
      <alignment vertical="center" wrapText="1"/>
    </xf>
    <xf numFmtId="0" fontId="4" fillId="37" borderId="0" xfId="0" applyFont="1" applyFill="1" applyBorder="1" applyAlignment="1">
      <alignment horizontal="right" vertical="center"/>
    </xf>
    <xf numFmtId="0" fontId="4" fillId="37" borderId="43" xfId="0" applyFont="1" applyFill="1" applyBorder="1" applyAlignment="1">
      <alignment horizontal="center" vertical="center"/>
    </xf>
    <xf numFmtId="0" fontId="88" fillId="39" borderId="42" xfId="194" applyFont="1" applyFill="1" applyBorder="1" applyAlignment="1">
      <alignment horizontal="center" vertical="center" wrapText="1"/>
      <protection/>
    </xf>
    <xf numFmtId="0" fontId="88" fillId="39" borderId="0" xfId="194" applyFont="1" applyFill="1" applyBorder="1" applyAlignment="1">
      <alignment horizontal="center" vertical="center" wrapText="1"/>
      <protection/>
    </xf>
    <xf numFmtId="0" fontId="88" fillId="39" borderId="43" xfId="194" applyFont="1" applyFill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right" vertical="center"/>
    </xf>
    <xf numFmtId="2" fontId="4" fillId="0" borderId="43" xfId="0" applyNumberFormat="1" applyFont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43" xfId="0" applyNumberFormat="1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4" fillId="37" borderId="44" xfId="0" applyNumberFormat="1" applyFont="1" applyFill="1" applyBorder="1" applyAlignment="1">
      <alignment horizontal="right" vertical="center" wrapText="1"/>
    </xf>
    <xf numFmtId="2" fontId="50" fillId="0" borderId="31" xfId="228" applyNumberFormat="1" applyFont="1" applyFill="1" applyBorder="1" applyAlignment="1">
      <alignment horizontal="center"/>
      <protection/>
    </xf>
    <xf numFmtId="2" fontId="50" fillId="0" borderId="12" xfId="228" applyNumberFormat="1" applyFont="1" applyFill="1" applyBorder="1" applyAlignment="1">
      <alignment horizontal="center"/>
      <protection/>
    </xf>
    <xf numFmtId="0" fontId="50" fillId="0" borderId="12" xfId="228" applyFont="1" applyFill="1" applyBorder="1" applyAlignment="1">
      <alignment horizontal="center"/>
      <protection/>
    </xf>
    <xf numFmtId="0" fontId="24" fillId="0" borderId="15" xfId="228" applyFont="1" applyFill="1" applyBorder="1" applyAlignment="1">
      <alignment horizontal="left"/>
      <protection/>
    </xf>
    <xf numFmtId="2" fontId="50" fillId="0" borderId="33" xfId="228" applyNumberFormat="1" applyFont="1" applyFill="1" applyBorder="1" applyAlignment="1">
      <alignment horizontal="center"/>
      <protection/>
    </xf>
    <xf numFmtId="0" fontId="50" fillId="0" borderId="14" xfId="228" applyFont="1" applyFill="1" applyBorder="1" applyAlignment="1">
      <alignment horizontal="left"/>
      <protection/>
    </xf>
    <xf numFmtId="170" fontId="24" fillId="0" borderId="0" xfId="49" applyFont="1" applyFill="1" applyBorder="1" applyAlignment="1">
      <alignment horizontal="center"/>
    </xf>
    <xf numFmtId="2" fontId="50" fillId="0" borderId="34" xfId="228" applyNumberFormat="1" applyFont="1" applyFill="1" applyBorder="1" applyAlignment="1">
      <alignment horizontal="center"/>
      <protection/>
    </xf>
    <xf numFmtId="2" fontId="50" fillId="0" borderId="11" xfId="228" applyNumberFormat="1" applyFont="1" applyFill="1" applyBorder="1" applyAlignment="1">
      <alignment horizontal="center"/>
      <protection/>
    </xf>
    <xf numFmtId="0" fontId="50" fillId="0" borderId="11" xfId="228" applyFont="1" applyFill="1" applyBorder="1" applyAlignment="1">
      <alignment horizontal="center"/>
      <protection/>
    </xf>
    <xf numFmtId="0" fontId="24" fillId="0" borderId="11" xfId="228" applyFont="1" applyFill="1" applyBorder="1" applyAlignment="1">
      <alignment horizontal="left"/>
      <protection/>
    </xf>
    <xf numFmtId="0" fontId="50" fillId="0" borderId="13" xfId="228" applyFont="1" applyFill="1" applyBorder="1" applyAlignment="1">
      <alignment horizontal="left"/>
      <protection/>
    </xf>
    <xf numFmtId="0" fontId="50" fillId="39" borderId="18" xfId="228" applyFont="1" applyFill="1" applyBorder="1" applyAlignment="1">
      <alignment horizontal="left" vertical="center"/>
      <protection/>
    </xf>
    <xf numFmtId="0" fontId="20" fillId="40" borderId="24" xfId="0" applyNumberFormat="1" applyFont="1" applyFill="1" applyBorder="1" applyAlignment="1" quotePrefix="1">
      <alignment horizontal="center" vertical="center" wrapText="1"/>
    </xf>
    <xf numFmtId="0" fontId="11" fillId="0" borderId="25" xfId="297" applyFont="1" applyFill="1" applyBorder="1" applyAlignment="1">
      <alignment vertical="center" wrapText="1"/>
      <protection/>
    </xf>
    <xf numFmtId="0" fontId="21" fillId="0" borderId="10" xfId="0" applyNumberFormat="1" applyFont="1" applyFill="1" applyBorder="1" applyAlignment="1">
      <alignment horizontal="left" vertical="center"/>
    </xf>
    <xf numFmtId="0" fontId="86" fillId="0" borderId="42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78" fillId="0" borderId="0" xfId="51" applyFont="1" applyFill="1" applyBorder="1" applyAlignment="1">
      <alignment horizontal="left" vertical="center" wrapText="1"/>
      <protection/>
    </xf>
    <xf numFmtId="0" fontId="86" fillId="37" borderId="42" xfId="51" applyFont="1" applyFill="1" applyBorder="1" applyAlignment="1">
      <alignment horizontal="center" vertical="top" wrapText="1"/>
      <protection/>
    </xf>
    <xf numFmtId="0" fontId="86" fillId="37" borderId="0" xfId="51" applyFont="1" applyFill="1" applyBorder="1" applyAlignment="1">
      <alignment horizontal="center" vertical="top" wrapText="1"/>
      <protection/>
    </xf>
    <xf numFmtId="172" fontId="13" fillId="0" borderId="27" xfId="53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85" fillId="0" borderId="44" xfId="0" applyNumberFormat="1" applyFont="1" applyBorder="1" applyAlignment="1">
      <alignment horizontal="right" vertical="center" wrapText="1"/>
    </xf>
    <xf numFmtId="0" fontId="78" fillId="0" borderId="45" xfId="51" applyFont="1" applyFill="1" applyBorder="1" applyAlignment="1">
      <alignment horizontal="center" vertical="center" wrapText="1"/>
      <protection/>
    </xf>
    <xf numFmtId="0" fontId="78" fillId="0" borderId="46" xfId="51" applyFont="1" applyFill="1" applyBorder="1" applyAlignment="1">
      <alignment horizontal="center" vertical="center" wrapText="1"/>
      <protection/>
    </xf>
    <xf numFmtId="2" fontId="78" fillId="0" borderId="46" xfId="51" applyNumberFormat="1" applyFont="1" applyFill="1" applyBorder="1" applyAlignment="1">
      <alignment horizontal="right" vertical="center" wrapText="1"/>
      <protection/>
    </xf>
    <xf numFmtId="2" fontId="78" fillId="0" borderId="47" xfId="0" applyNumberFormat="1" applyFont="1" applyFill="1" applyBorder="1" applyAlignment="1">
      <alignment horizontal="right" vertical="center" wrapText="1"/>
    </xf>
    <xf numFmtId="0" fontId="80" fillId="0" borderId="28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91" fillId="0" borderId="32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vertical="center" wrapText="1"/>
    </xf>
    <xf numFmtId="43" fontId="11" fillId="39" borderId="26" xfId="434" applyNumberFormat="1" applyFont="1" applyFill="1" applyBorder="1" applyAlignment="1">
      <alignment horizontal="center" vertical="center"/>
    </xf>
    <xf numFmtId="43" fontId="11" fillId="39" borderId="26" xfId="297" applyNumberFormat="1" applyFont="1" applyFill="1" applyBorder="1" applyAlignment="1">
      <alignment horizontal="center" vertical="center"/>
      <protection/>
    </xf>
    <xf numFmtId="43" fontId="11" fillId="39" borderId="23" xfId="297" applyNumberFormat="1" applyFont="1" applyFill="1" applyBorder="1" applyAlignment="1">
      <alignment horizontal="center" vertical="center"/>
      <protection/>
    </xf>
    <xf numFmtId="172" fontId="8" fillId="0" borderId="27" xfId="52" applyNumberFormat="1" applyFont="1" applyFill="1" applyBorder="1" applyAlignment="1">
      <alignment horizontal="left" vertical="center" wrapText="1"/>
      <protection/>
    </xf>
    <xf numFmtId="172" fontId="8" fillId="0" borderId="29" xfId="52" applyNumberFormat="1" applyFont="1" applyFill="1" applyBorder="1" applyAlignment="1">
      <alignment horizontal="left" vertical="center" wrapText="1"/>
      <protection/>
    </xf>
    <xf numFmtId="172" fontId="15" fillId="0" borderId="27" xfId="52" applyNumberFormat="1" applyFont="1" applyFill="1" applyBorder="1" applyAlignment="1">
      <alignment horizontal="center" vertical="center" wrapText="1"/>
      <protection/>
    </xf>
    <xf numFmtId="172" fontId="15" fillId="0" borderId="29" xfId="52" applyNumberFormat="1" applyFont="1" applyFill="1" applyBorder="1" applyAlignment="1">
      <alignment horizontal="center" vertical="center" wrapText="1"/>
      <protection/>
    </xf>
    <xf numFmtId="172" fontId="15" fillId="0" borderId="17" xfId="52" applyNumberFormat="1" applyFont="1" applyFill="1" applyBorder="1" applyAlignment="1">
      <alignment horizontal="center" vertical="center" wrapText="1"/>
      <protection/>
    </xf>
    <xf numFmtId="172" fontId="3" fillId="0" borderId="0" xfId="52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172" fontId="12" fillId="42" borderId="18" xfId="52" applyNumberFormat="1" applyFont="1" applyFill="1" applyBorder="1" applyAlignment="1">
      <alignment horizontal="center" vertical="center" wrapText="1"/>
      <protection/>
    </xf>
    <xf numFmtId="172" fontId="12" fillId="42" borderId="19" xfId="52" applyNumberFormat="1" applyFont="1" applyFill="1" applyBorder="1" applyAlignment="1">
      <alignment horizontal="center" vertical="center" wrapText="1"/>
      <protection/>
    </xf>
    <xf numFmtId="172" fontId="12" fillId="42" borderId="2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2" fontId="8" fillId="0" borderId="17" xfId="52" applyNumberFormat="1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3" fillId="39" borderId="30" xfId="299" applyNumberFormat="1" applyFont="1" applyFill="1" applyBorder="1" applyAlignment="1" applyProtection="1">
      <alignment horizontal="center" vertical="center" wrapText="1"/>
      <protection/>
    </xf>
    <xf numFmtId="0" fontId="13" fillId="39" borderId="48" xfId="299" applyNumberFormat="1" applyFont="1" applyFill="1" applyBorder="1" applyAlignment="1" applyProtection="1">
      <alignment horizontal="center" vertical="center" wrapText="1"/>
      <protection/>
    </xf>
    <xf numFmtId="0" fontId="13" fillId="39" borderId="49" xfId="52" applyNumberFormat="1" applyFont="1" applyFill="1" applyBorder="1" applyAlignment="1">
      <alignment horizontal="center" vertical="center" wrapText="1"/>
      <protection/>
    </xf>
    <xf numFmtId="0" fontId="13" fillId="39" borderId="50" xfId="52" applyNumberFormat="1" applyFont="1" applyFill="1" applyBorder="1" applyAlignment="1">
      <alignment horizontal="center" vertical="center" wrapText="1"/>
      <protection/>
    </xf>
    <xf numFmtId="4" fontId="13" fillId="39" borderId="30" xfId="299" applyNumberFormat="1" applyFont="1" applyFill="1" applyBorder="1" applyAlignment="1" applyProtection="1">
      <alignment horizontal="center" vertical="center" wrapText="1"/>
      <protection/>
    </xf>
    <xf numFmtId="4" fontId="13" fillId="39" borderId="48" xfId="299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0" xfId="300" applyFont="1" applyFill="1" applyBorder="1" applyAlignment="1">
      <alignment horizontal="center" vertical="center" wrapText="1"/>
      <protection/>
    </xf>
    <xf numFmtId="10" fontId="13" fillId="39" borderId="51" xfId="299" applyNumberFormat="1" applyFont="1" applyFill="1" applyBorder="1" applyAlignment="1" applyProtection="1">
      <alignment horizontal="center" vertical="center" wrapText="1"/>
      <protection/>
    </xf>
    <xf numFmtId="10" fontId="13" fillId="39" borderId="52" xfId="299" applyNumberFormat="1" applyFont="1" applyFill="1" applyBorder="1" applyAlignment="1" applyProtection="1">
      <alignment horizontal="center" vertical="center" wrapText="1"/>
      <protection/>
    </xf>
    <xf numFmtId="0" fontId="23" fillId="43" borderId="0" xfId="300" applyFont="1" applyFill="1" applyBorder="1" applyAlignment="1">
      <alignment horizontal="justify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2" fontId="3" fillId="0" borderId="27" xfId="52" applyNumberFormat="1" applyFont="1" applyFill="1" applyBorder="1" applyAlignment="1">
      <alignment horizontal="left" vertical="center" wrapText="1"/>
      <protection/>
    </xf>
    <xf numFmtId="172" fontId="3" fillId="0" borderId="29" xfId="52" applyNumberFormat="1" applyFont="1" applyFill="1" applyBorder="1" applyAlignment="1">
      <alignment horizontal="left" vertical="center" wrapText="1"/>
      <protection/>
    </xf>
    <xf numFmtId="0" fontId="13" fillId="42" borderId="18" xfId="297" applyFont="1" applyFill="1" applyBorder="1" applyAlignment="1">
      <alignment horizontal="center" vertical="center"/>
      <protection/>
    </xf>
    <xf numFmtId="0" fontId="13" fillId="42" borderId="19" xfId="297" applyFont="1" applyFill="1" applyBorder="1" applyAlignment="1">
      <alignment horizontal="center" vertical="center"/>
      <protection/>
    </xf>
    <xf numFmtId="0" fontId="13" fillId="42" borderId="20" xfId="297" applyFont="1" applyFill="1" applyBorder="1" applyAlignment="1">
      <alignment horizontal="center" vertical="center"/>
      <protection/>
    </xf>
    <xf numFmtId="172" fontId="3" fillId="0" borderId="17" xfId="52" applyNumberFormat="1" applyFont="1" applyFill="1" applyBorder="1" applyAlignment="1">
      <alignment horizontal="left" vertical="center" wrapText="1"/>
      <protection/>
    </xf>
    <xf numFmtId="0" fontId="17" fillId="39" borderId="53" xfId="297" applyFont="1" applyFill="1" applyBorder="1" applyAlignment="1">
      <alignment horizontal="center" vertical="center" wrapText="1"/>
      <protection/>
    </xf>
    <xf numFmtId="0" fontId="17" fillId="39" borderId="54" xfId="297" applyFont="1" applyFill="1" applyBorder="1" applyAlignment="1">
      <alignment horizontal="center" vertical="center" wrapText="1"/>
      <protection/>
    </xf>
    <xf numFmtId="0" fontId="17" fillId="39" borderId="49" xfId="297" applyFont="1" applyFill="1" applyBorder="1" applyAlignment="1">
      <alignment horizontal="center" vertical="center" wrapText="1"/>
      <protection/>
    </xf>
    <xf numFmtId="0" fontId="17" fillId="39" borderId="50" xfId="297" applyFont="1" applyFill="1" applyBorder="1" applyAlignment="1">
      <alignment horizontal="center" vertical="center" wrapText="1"/>
      <protection/>
    </xf>
    <xf numFmtId="172" fontId="4" fillId="0" borderId="27" xfId="52" applyNumberFormat="1" applyFont="1" applyFill="1" applyBorder="1" applyAlignment="1">
      <alignment horizontal="center" vertical="center" wrapText="1"/>
      <protection/>
    </xf>
    <xf numFmtId="172" fontId="4" fillId="0" borderId="29" xfId="52" applyNumberFormat="1" applyFont="1" applyFill="1" applyBorder="1" applyAlignment="1">
      <alignment horizontal="center" vertical="center" wrapText="1"/>
      <protection/>
    </xf>
    <xf numFmtId="172" fontId="4" fillId="0" borderId="17" xfId="52" applyNumberFormat="1" applyFont="1" applyFill="1" applyBorder="1" applyAlignment="1">
      <alignment horizontal="center" vertical="center" wrapText="1"/>
      <protection/>
    </xf>
    <xf numFmtId="0" fontId="17" fillId="39" borderId="30" xfId="297" applyFont="1" applyFill="1" applyBorder="1" applyAlignment="1">
      <alignment horizontal="center" vertical="center" wrapText="1"/>
      <protection/>
    </xf>
    <xf numFmtId="0" fontId="17" fillId="39" borderId="48" xfId="297" applyFont="1" applyFill="1" applyBorder="1" applyAlignment="1">
      <alignment horizontal="center" vertical="center" wrapText="1"/>
      <protection/>
    </xf>
    <xf numFmtId="0" fontId="17" fillId="39" borderId="51" xfId="297" applyFont="1" applyFill="1" applyBorder="1" applyAlignment="1">
      <alignment horizontal="center" vertical="center" wrapText="1"/>
      <protection/>
    </xf>
    <xf numFmtId="0" fontId="17" fillId="39" borderId="52" xfId="297" applyFont="1" applyFill="1" applyBorder="1" applyAlignment="1">
      <alignment horizontal="center" vertical="center" wrapText="1"/>
      <protection/>
    </xf>
    <xf numFmtId="0" fontId="80" fillId="0" borderId="28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2" fontId="79" fillId="0" borderId="28" xfId="0" applyNumberFormat="1" applyFont="1" applyBorder="1" applyAlignment="1">
      <alignment horizontal="center" vertical="center"/>
    </xf>
    <xf numFmtId="2" fontId="79" fillId="0" borderId="32" xfId="0" applyNumberFormat="1" applyFont="1" applyBorder="1" applyAlignment="1">
      <alignment horizontal="center" vertical="center"/>
    </xf>
    <xf numFmtId="2" fontId="79" fillId="0" borderId="16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79" fillId="39" borderId="21" xfId="0" applyFont="1" applyFill="1" applyBorder="1" applyAlignment="1">
      <alignment horizontal="center" vertical="center" wrapText="1"/>
    </xf>
    <xf numFmtId="0" fontId="79" fillId="39" borderId="19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2" fontId="79" fillId="0" borderId="17" xfId="0" applyNumberFormat="1" applyFont="1" applyBorder="1" applyAlignment="1">
      <alignment horizontal="center" vertical="center"/>
    </xf>
    <xf numFmtId="2" fontId="79" fillId="0" borderId="28" xfId="0" applyNumberFormat="1" applyFont="1" applyFill="1" applyBorder="1" applyAlignment="1">
      <alignment horizontal="center" vertical="center"/>
    </xf>
    <xf numFmtId="2" fontId="79" fillId="0" borderId="32" xfId="0" applyNumberFormat="1" applyFont="1" applyFill="1" applyBorder="1" applyAlignment="1">
      <alignment horizontal="center" vertical="center"/>
    </xf>
    <xf numFmtId="2" fontId="79" fillId="0" borderId="16" xfId="0" applyNumberFormat="1" applyFont="1" applyFill="1" applyBorder="1" applyAlignment="1">
      <alignment horizontal="center" vertical="center"/>
    </xf>
    <xf numFmtId="171" fontId="18" fillId="0" borderId="28" xfId="310" applyFont="1" applyFill="1" applyBorder="1" applyAlignment="1">
      <alignment horizontal="center" vertical="center" wrapText="1"/>
    </xf>
    <xf numFmtId="171" fontId="18" fillId="0" borderId="16" xfId="310" applyFont="1" applyFill="1" applyBorder="1" applyAlignment="1">
      <alignment horizontal="center" vertical="center" wrapText="1"/>
    </xf>
    <xf numFmtId="171" fontId="18" fillId="0" borderId="13" xfId="310" applyFont="1" applyFill="1" applyBorder="1" applyAlignment="1">
      <alignment horizontal="center" vertical="center" wrapText="1"/>
    </xf>
    <xf numFmtId="171" fontId="18" fillId="0" borderId="14" xfId="31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2" fontId="79" fillId="0" borderId="34" xfId="0" applyNumberFormat="1" applyFont="1" applyFill="1" applyBorder="1" applyAlignment="1">
      <alignment horizontal="center" vertical="center"/>
    </xf>
    <xf numFmtId="2" fontId="79" fillId="0" borderId="33" xfId="0" applyNumberFormat="1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171" fontId="18" fillId="0" borderId="11" xfId="310" applyFont="1" applyFill="1" applyBorder="1" applyAlignment="1">
      <alignment horizontal="center" vertical="center" wrapText="1"/>
    </xf>
    <xf numFmtId="171" fontId="18" fillId="0" borderId="0" xfId="310" applyFont="1" applyFill="1" applyBorder="1" applyAlignment="1">
      <alignment horizontal="center" vertical="center" wrapText="1"/>
    </xf>
    <xf numFmtId="2" fontId="79" fillId="0" borderId="34" xfId="0" applyNumberFormat="1" applyFont="1" applyBorder="1" applyAlignment="1">
      <alignment horizontal="center" vertical="center"/>
    </xf>
    <xf numFmtId="2" fontId="79" fillId="0" borderId="33" xfId="0" applyNumberFormat="1" applyFont="1" applyBorder="1" applyAlignment="1">
      <alignment horizontal="center" vertical="center"/>
    </xf>
    <xf numFmtId="2" fontId="79" fillId="0" borderId="31" xfId="0" applyNumberFormat="1" applyFont="1" applyBorder="1" applyAlignment="1">
      <alignment horizontal="center" vertical="center"/>
    </xf>
    <xf numFmtId="0" fontId="80" fillId="0" borderId="28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171" fontId="18" fillId="0" borderId="32" xfId="310" applyFont="1" applyFill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171" fontId="18" fillId="0" borderId="15" xfId="31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172" fontId="12" fillId="0" borderId="10" xfId="53" applyNumberFormat="1" applyFont="1" applyFill="1" applyBorder="1" applyAlignment="1">
      <alignment horizontal="left" vertical="center" wrapText="1"/>
      <protection/>
    </xf>
    <xf numFmtId="172" fontId="16" fillId="0" borderId="10" xfId="53" applyNumberFormat="1" applyFont="1" applyFill="1" applyBorder="1" applyAlignment="1">
      <alignment horizontal="left" vertical="center" wrapText="1"/>
      <protection/>
    </xf>
    <xf numFmtId="0" fontId="79" fillId="42" borderId="18" xfId="0" applyFont="1" applyFill="1" applyBorder="1" applyAlignment="1">
      <alignment horizontal="center" vertical="center"/>
    </xf>
    <xf numFmtId="0" fontId="79" fillId="42" borderId="19" xfId="0" applyFont="1" applyFill="1" applyBorder="1" applyAlignment="1">
      <alignment horizontal="center" vertical="center"/>
    </xf>
    <xf numFmtId="0" fontId="79" fillId="42" borderId="20" xfId="0" applyFont="1" applyFill="1" applyBorder="1" applyAlignment="1">
      <alignment horizontal="center" vertical="center"/>
    </xf>
    <xf numFmtId="0" fontId="16" fillId="0" borderId="0" xfId="300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left" vertical="center" wrapText="1"/>
    </xf>
    <xf numFmtId="0" fontId="18" fillId="0" borderId="29" xfId="0" applyNumberFormat="1" applyFont="1" applyFill="1" applyBorder="1" applyAlignment="1">
      <alignment horizontal="left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172" fontId="15" fillId="0" borderId="27" xfId="53" applyNumberFormat="1" applyFont="1" applyFill="1" applyBorder="1" applyAlignment="1">
      <alignment horizontal="center" vertical="center" wrapText="1"/>
      <protection/>
    </xf>
    <xf numFmtId="172" fontId="15" fillId="0" borderId="29" xfId="53" applyNumberFormat="1" applyFont="1" applyFill="1" applyBorder="1" applyAlignment="1">
      <alignment horizontal="center" vertical="center" wrapText="1"/>
      <protection/>
    </xf>
    <xf numFmtId="172" fontId="15" fillId="0" borderId="17" xfId="53" applyNumberFormat="1" applyFont="1" applyFill="1" applyBorder="1" applyAlignment="1">
      <alignment horizontal="center" vertical="center" wrapText="1"/>
      <protection/>
    </xf>
    <xf numFmtId="0" fontId="78" fillId="0" borderId="11" xfId="0" applyFont="1" applyBorder="1" applyAlignment="1">
      <alignment horizontal="center"/>
    </xf>
    <xf numFmtId="0" fontId="78" fillId="0" borderId="34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0" fontId="80" fillId="0" borderId="11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2" fontId="79" fillId="0" borderId="28" xfId="0" applyNumberFormat="1" applyFont="1" applyFill="1" applyBorder="1" applyAlignment="1">
      <alignment horizontal="center" vertical="center" wrapText="1"/>
    </xf>
    <xf numFmtId="2" fontId="79" fillId="0" borderId="32" xfId="0" applyNumberFormat="1" applyFont="1" applyFill="1" applyBorder="1" applyAlignment="1">
      <alignment horizontal="center" vertical="center" wrapText="1"/>
    </xf>
    <xf numFmtId="2" fontId="79" fillId="0" borderId="16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 wrapText="1"/>
    </xf>
    <xf numFmtId="0" fontId="86" fillId="0" borderId="42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 wrapText="1"/>
    </xf>
    <xf numFmtId="0" fontId="86" fillId="37" borderId="42" xfId="0" applyFont="1" applyFill="1" applyBorder="1" applyAlignment="1">
      <alignment horizontal="center" vertical="center" wrapText="1"/>
    </xf>
    <xf numFmtId="0" fontId="86" fillId="37" borderId="0" xfId="0" applyFont="1" applyFill="1" applyBorder="1" applyAlignment="1">
      <alignment horizontal="center" vertical="center" wrapText="1"/>
    </xf>
    <xf numFmtId="0" fontId="86" fillId="37" borderId="43" xfId="0" applyFont="1" applyFill="1" applyBorder="1" applyAlignment="1">
      <alignment horizontal="center" vertical="center" wrapText="1"/>
    </xf>
    <xf numFmtId="0" fontId="85" fillId="0" borderId="42" xfId="51" applyFont="1" applyBorder="1" applyAlignment="1">
      <alignment horizontal="right" vertical="top" wrapText="1"/>
      <protection/>
    </xf>
    <xf numFmtId="0" fontId="85" fillId="0" borderId="0" xfId="51" applyFont="1" applyBorder="1" applyAlignment="1">
      <alignment horizontal="right" vertical="top" wrapText="1"/>
      <protection/>
    </xf>
    <xf numFmtId="0" fontId="85" fillId="0" borderId="42" xfId="0" applyFont="1" applyBorder="1" applyAlignment="1">
      <alignment horizontal="right" vertical="center" wrapText="1"/>
    </xf>
    <xf numFmtId="0" fontId="85" fillId="0" borderId="0" xfId="0" applyFont="1" applyBorder="1" applyAlignment="1">
      <alignment horizontal="right" vertical="center" wrapText="1"/>
    </xf>
    <xf numFmtId="0" fontId="86" fillId="39" borderId="42" xfId="0" applyFont="1" applyFill="1" applyBorder="1" applyAlignment="1">
      <alignment vertical="center" wrapText="1"/>
    </xf>
    <xf numFmtId="0" fontId="86" fillId="39" borderId="0" xfId="0" applyFont="1" applyFill="1" applyBorder="1" applyAlignment="1">
      <alignment vertical="center" wrapText="1"/>
    </xf>
    <xf numFmtId="0" fontId="86" fillId="39" borderId="43" xfId="0" applyFont="1" applyFill="1" applyBorder="1" applyAlignment="1">
      <alignment vertical="center" wrapText="1"/>
    </xf>
    <xf numFmtId="0" fontId="86" fillId="0" borderId="55" xfId="0" applyFont="1" applyBorder="1" applyAlignment="1">
      <alignment horizontal="right" vertical="center" wrapText="1"/>
    </xf>
    <xf numFmtId="0" fontId="86" fillId="0" borderId="56" xfId="0" applyFont="1" applyBorder="1" applyAlignment="1">
      <alignment horizontal="right" vertical="center" wrapText="1"/>
    </xf>
    <xf numFmtId="0" fontId="86" fillId="0" borderId="55" xfId="51" applyFont="1" applyBorder="1" applyAlignment="1">
      <alignment horizontal="right" vertical="top" wrapText="1"/>
      <protection/>
    </xf>
    <xf numFmtId="0" fontId="86" fillId="0" borderId="56" xfId="51" applyFont="1" applyBorder="1" applyAlignment="1">
      <alignment horizontal="right" vertical="top" wrapText="1"/>
      <protection/>
    </xf>
    <xf numFmtId="0" fontId="88" fillId="39" borderId="45" xfId="0" applyFont="1" applyFill="1" applyBorder="1" applyAlignment="1">
      <alignment horizontal="left" vertical="center" wrapText="1"/>
    </xf>
    <xf numFmtId="0" fontId="88" fillId="39" borderId="46" xfId="0" applyFont="1" applyFill="1" applyBorder="1" applyAlignment="1">
      <alignment horizontal="left" vertical="center" wrapText="1"/>
    </xf>
    <xf numFmtId="0" fontId="88" fillId="39" borderId="47" xfId="0" applyFont="1" applyFill="1" applyBorder="1" applyAlignment="1">
      <alignment horizontal="left" vertical="center" wrapText="1"/>
    </xf>
    <xf numFmtId="0" fontId="78" fillId="0" borderId="46" xfId="51" applyFont="1" applyFill="1" applyBorder="1" applyAlignment="1">
      <alignment horizontal="left" vertical="center" wrapText="1"/>
      <protection/>
    </xf>
    <xf numFmtId="0" fontId="78" fillId="0" borderId="0" xfId="51" applyFont="1" applyFill="1" applyBorder="1" applyAlignment="1">
      <alignment horizontal="left" vertical="center" wrapText="1"/>
      <protection/>
    </xf>
    <xf numFmtId="0" fontId="85" fillId="37" borderId="42" xfId="0" applyFont="1" applyFill="1" applyBorder="1" applyAlignment="1">
      <alignment horizontal="right" vertical="center" wrapText="1"/>
    </xf>
    <xf numFmtId="0" fontId="85" fillId="37" borderId="0" xfId="0" applyFont="1" applyFill="1" applyBorder="1" applyAlignment="1">
      <alignment horizontal="right" vertical="center" wrapText="1"/>
    </xf>
    <xf numFmtId="0" fontId="85" fillId="37" borderId="42" xfId="51" applyFont="1" applyFill="1" applyBorder="1" applyAlignment="1">
      <alignment horizontal="right" vertical="top" wrapText="1"/>
      <protection/>
    </xf>
    <xf numFmtId="0" fontId="85" fillId="37" borderId="0" xfId="51" applyFont="1" applyFill="1" applyBorder="1" applyAlignment="1">
      <alignment horizontal="right" vertical="top" wrapText="1"/>
      <protection/>
    </xf>
    <xf numFmtId="0" fontId="86" fillId="37" borderId="0" xfId="51" applyFont="1" applyFill="1" applyBorder="1" applyAlignment="1">
      <alignment horizontal="center" vertical="top" wrapText="1"/>
      <protection/>
    </xf>
    <xf numFmtId="0" fontId="86" fillId="37" borderId="43" xfId="51" applyFont="1" applyFill="1" applyBorder="1" applyAlignment="1">
      <alignment horizontal="center" vertical="top" wrapText="1"/>
      <protection/>
    </xf>
    <xf numFmtId="0" fontId="86" fillId="0" borderId="0" xfId="5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wrapText="1"/>
    </xf>
    <xf numFmtId="0" fontId="4" fillId="0" borderId="4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88" fillId="39" borderId="45" xfId="194" applyFont="1" applyFill="1" applyBorder="1" applyAlignment="1">
      <alignment horizontal="left" vertical="center" wrapText="1"/>
      <protection/>
    </xf>
    <xf numFmtId="0" fontId="88" fillId="39" borderId="46" xfId="194" applyFont="1" applyFill="1" applyBorder="1" applyAlignment="1">
      <alignment horizontal="left" vertical="center" wrapText="1"/>
      <protection/>
    </xf>
    <xf numFmtId="0" fontId="88" fillId="39" borderId="47" xfId="194" applyFont="1" applyFill="1" applyBorder="1" applyAlignment="1">
      <alignment horizontal="left" vertical="center" wrapText="1"/>
      <protection/>
    </xf>
    <xf numFmtId="0" fontId="4" fillId="37" borderId="42" xfId="0" applyFont="1" applyFill="1" applyBorder="1" applyAlignment="1">
      <alignment horizontal="right" vertical="center" wrapText="1"/>
    </xf>
    <xf numFmtId="0" fontId="4" fillId="37" borderId="0" xfId="0" applyFont="1" applyFill="1" applyBorder="1" applyAlignment="1">
      <alignment horizontal="righ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85" fillId="0" borderId="55" xfId="0" applyFont="1" applyBorder="1" applyAlignment="1">
      <alignment horizontal="right" vertical="center" wrapText="1"/>
    </xf>
    <xf numFmtId="0" fontId="85" fillId="0" borderId="56" xfId="0" applyFont="1" applyBorder="1" applyAlignment="1">
      <alignment horizontal="right" vertical="center" wrapText="1"/>
    </xf>
    <xf numFmtId="0" fontId="86" fillId="37" borderId="45" xfId="0" applyFont="1" applyFill="1" applyBorder="1" applyAlignment="1">
      <alignment horizontal="center" vertical="center" wrapText="1"/>
    </xf>
    <xf numFmtId="0" fontId="86" fillId="37" borderId="46" xfId="0" applyFont="1" applyFill="1" applyBorder="1" applyAlignment="1">
      <alignment horizontal="center" vertical="center" wrapText="1"/>
    </xf>
    <xf numFmtId="0" fontId="86" fillId="37" borderId="47" xfId="0" applyFont="1" applyFill="1" applyBorder="1" applyAlignment="1">
      <alignment horizontal="center" vertical="center" wrapText="1"/>
    </xf>
    <xf numFmtId="0" fontId="86" fillId="37" borderId="55" xfId="51" applyFont="1" applyFill="1" applyBorder="1" applyAlignment="1">
      <alignment horizontal="center" vertical="top" wrapText="1"/>
      <protection/>
    </xf>
    <xf numFmtId="0" fontId="86" fillId="37" borderId="56" xfId="51" applyFont="1" applyFill="1" applyBorder="1" applyAlignment="1">
      <alignment horizontal="center" vertical="top" wrapText="1"/>
      <protection/>
    </xf>
    <xf numFmtId="0" fontId="86" fillId="37" borderId="44" xfId="51" applyFont="1" applyFill="1" applyBorder="1" applyAlignment="1">
      <alignment horizontal="center" vertical="top" wrapText="1"/>
      <protection/>
    </xf>
    <xf numFmtId="0" fontId="3" fillId="39" borderId="42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vertical="center" wrapText="1"/>
    </xf>
    <xf numFmtId="0" fontId="3" fillId="39" borderId="43" xfId="0" applyFont="1" applyFill="1" applyBorder="1" applyAlignment="1">
      <alignment vertical="center" wrapText="1"/>
    </xf>
    <xf numFmtId="0" fontId="3" fillId="0" borderId="55" xfId="0" applyFont="1" applyBorder="1" applyAlignment="1">
      <alignment horizontal="right" vertical="center" wrapText="1"/>
    </xf>
    <xf numFmtId="0" fontId="3" fillId="0" borderId="56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3" fillId="37" borderId="43" xfId="0" applyFont="1" applyFill="1" applyBorder="1" applyAlignment="1">
      <alignment horizontal="center" vertical="center" wrapText="1"/>
    </xf>
    <xf numFmtId="172" fontId="3" fillId="0" borderId="10" xfId="53" applyNumberFormat="1" applyFont="1" applyFill="1" applyBorder="1" applyAlignment="1">
      <alignment horizontal="left" vertical="center" wrapText="1"/>
      <protection/>
    </xf>
    <xf numFmtId="172" fontId="13" fillId="0" borderId="10" xfId="53" applyNumberFormat="1" applyFont="1" applyFill="1" applyBorder="1" applyAlignment="1">
      <alignment horizontal="left" vertical="center" wrapText="1"/>
      <protection/>
    </xf>
    <xf numFmtId="172" fontId="13" fillId="0" borderId="10" xfId="53" applyNumberFormat="1" applyFont="1" applyFill="1" applyBorder="1" applyAlignment="1">
      <alignment horizontal="center" vertical="center" wrapText="1"/>
      <protection/>
    </xf>
    <xf numFmtId="172" fontId="12" fillId="42" borderId="18" xfId="53" applyNumberFormat="1" applyFont="1" applyFill="1" applyBorder="1" applyAlignment="1">
      <alignment horizontal="center" vertical="center" wrapText="1"/>
      <protection/>
    </xf>
    <xf numFmtId="172" fontId="12" fillId="42" borderId="19" xfId="53" applyNumberFormat="1" applyFont="1" applyFill="1" applyBorder="1" applyAlignment="1">
      <alignment horizontal="center" vertical="center" wrapText="1"/>
      <protection/>
    </xf>
    <xf numFmtId="172" fontId="12" fillId="42" borderId="20" xfId="53" applyNumberFormat="1" applyFont="1" applyFill="1" applyBorder="1" applyAlignment="1">
      <alignment horizontal="center" vertical="center" wrapText="1"/>
      <protection/>
    </xf>
    <xf numFmtId="0" fontId="85" fillId="37" borderId="18" xfId="0" applyFont="1" applyFill="1" applyBorder="1" applyAlignment="1">
      <alignment horizontal="left" vertical="center" wrapText="1"/>
    </xf>
    <xf numFmtId="0" fontId="85" fillId="37" borderId="19" xfId="0" applyFont="1" applyFill="1" applyBorder="1" applyAlignment="1">
      <alignment horizontal="left" vertical="center" wrapText="1"/>
    </xf>
    <xf numFmtId="10" fontId="85" fillId="37" borderId="19" xfId="303" applyNumberFormat="1" applyFont="1" applyFill="1" applyBorder="1" applyAlignment="1">
      <alignment horizontal="center" vertical="center" wrapText="1"/>
    </xf>
    <xf numFmtId="0" fontId="85" fillId="37" borderId="19" xfId="0" applyFont="1" applyFill="1" applyBorder="1" applyAlignment="1">
      <alignment horizontal="right" vertical="center" wrapText="1"/>
    </xf>
    <xf numFmtId="0" fontId="85" fillId="37" borderId="20" xfId="0" applyFont="1" applyFill="1" applyBorder="1" applyAlignment="1">
      <alignment horizontal="right" vertical="center" wrapText="1"/>
    </xf>
    <xf numFmtId="0" fontId="81" fillId="33" borderId="0" xfId="0" applyFont="1" applyFill="1" applyBorder="1" applyAlignment="1">
      <alignment horizontal="center" vertical="top" wrapText="1"/>
    </xf>
    <xf numFmtId="2" fontId="81" fillId="33" borderId="10" xfId="0" applyNumberFormat="1" applyFont="1" applyFill="1" applyBorder="1" applyAlignment="1">
      <alignment horizontal="center" vertical="top" wrapText="1"/>
    </xf>
    <xf numFmtId="172" fontId="2" fillId="0" borderId="27" xfId="52" applyNumberFormat="1" applyFont="1" applyFill="1" applyBorder="1" applyAlignment="1">
      <alignment horizontal="left" vertical="center" wrapText="1"/>
      <protection/>
    </xf>
    <xf numFmtId="172" fontId="2" fillId="0" borderId="17" xfId="52" applyNumberFormat="1" applyFont="1" applyFill="1" applyBorder="1" applyAlignment="1">
      <alignment horizontal="left" vertical="center" wrapText="1"/>
      <protection/>
    </xf>
    <xf numFmtId="172" fontId="14" fillId="0" borderId="10" xfId="52" applyNumberFormat="1" applyFont="1" applyFill="1" applyBorder="1" applyAlignment="1">
      <alignment horizontal="left" vertical="center" wrapText="1"/>
      <protection/>
    </xf>
    <xf numFmtId="172" fontId="2" fillId="0" borderId="10" xfId="52" applyNumberFormat="1" applyFont="1" applyFill="1" applyBorder="1" applyAlignment="1">
      <alignment horizontal="left" vertical="center" wrapText="1"/>
      <protection/>
    </xf>
    <xf numFmtId="172" fontId="14" fillId="0" borderId="10" xfId="52" applyNumberFormat="1" applyFont="1" applyFill="1" applyBorder="1" applyAlignment="1">
      <alignment horizontal="center" vertical="center" wrapText="1"/>
      <protection/>
    </xf>
    <xf numFmtId="172" fontId="4" fillId="42" borderId="24" xfId="52" applyNumberFormat="1" applyFont="1" applyFill="1" applyBorder="1" applyAlignment="1">
      <alignment horizontal="center" vertical="center" wrapText="1"/>
      <protection/>
    </xf>
    <xf numFmtId="172" fontId="4" fillId="42" borderId="26" xfId="52" applyNumberFormat="1" applyFont="1" applyFill="1" applyBorder="1" applyAlignment="1">
      <alignment horizontal="center" vertical="center" wrapText="1"/>
      <protection/>
    </xf>
    <xf numFmtId="172" fontId="4" fillId="42" borderId="23" xfId="52" applyNumberFormat="1" applyFont="1" applyFill="1" applyBorder="1" applyAlignment="1">
      <alignment horizontal="center" vertical="center" wrapText="1"/>
      <protection/>
    </xf>
    <xf numFmtId="0" fontId="94" fillId="39" borderId="18" xfId="0" applyFont="1" applyFill="1" applyBorder="1" applyAlignment="1">
      <alignment horizontal="center" vertical="center"/>
    </xf>
    <xf numFmtId="0" fontId="94" fillId="39" borderId="22" xfId="0" applyFont="1" applyFill="1" applyBorder="1" applyAlignment="1">
      <alignment horizontal="center" vertical="center"/>
    </xf>
    <xf numFmtId="0" fontId="94" fillId="39" borderId="21" xfId="0" applyFont="1" applyFill="1" applyBorder="1" applyAlignment="1">
      <alignment horizontal="center" vertical="top" wrapText="1"/>
    </xf>
    <xf numFmtId="0" fontId="94" fillId="39" borderId="19" xfId="0" applyFont="1" applyFill="1" applyBorder="1" applyAlignment="1">
      <alignment horizontal="center" vertical="top" wrapText="1"/>
    </xf>
    <xf numFmtId="0" fontId="94" fillId="39" borderId="2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2" fontId="81" fillId="33" borderId="16" xfId="0" applyNumberFormat="1" applyFont="1" applyFill="1" applyBorder="1" applyAlignment="1">
      <alignment horizontal="center" vertical="top" wrapText="1"/>
    </xf>
    <xf numFmtId="0" fontId="81" fillId="33" borderId="16" xfId="0" applyFont="1" applyFill="1" applyBorder="1" applyAlignment="1">
      <alignment horizontal="left" vertical="top" wrapText="1"/>
    </xf>
    <xf numFmtId="0" fontId="81" fillId="33" borderId="10" xfId="0" applyFont="1" applyFill="1" applyBorder="1" applyAlignment="1">
      <alignment horizontal="left" vertical="top" wrapText="1"/>
    </xf>
    <xf numFmtId="172" fontId="14" fillId="0" borderId="10" xfId="53" applyNumberFormat="1" applyFont="1" applyFill="1" applyBorder="1" applyAlignment="1">
      <alignment horizontal="left" vertical="center" wrapText="1"/>
      <protection/>
    </xf>
    <xf numFmtId="172" fontId="2" fillId="0" borderId="10" xfId="53" applyNumberFormat="1" applyFont="1" applyFill="1" applyBorder="1" applyAlignment="1">
      <alignment horizontal="left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0" fillId="0" borderId="10" xfId="228" applyFont="1" applyBorder="1" applyAlignment="1">
      <alignment horizontal="left" vertical="center"/>
      <protection/>
    </xf>
    <xf numFmtId="0" fontId="50" fillId="42" borderId="18" xfId="228" applyFont="1" applyFill="1" applyBorder="1" applyAlignment="1">
      <alignment horizontal="center" vertical="center"/>
      <protection/>
    </xf>
    <xf numFmtId="0" fontId="50" fillId="42" borderId="19" xfId="228" applyFont="1" applyFill="1" applyBorder="1" applyAlignment="1">
      <alignment horizontal="center" vertical="center"/>
      <protection/>
    </xf>
    <xf numFmtId="0" fontId="50" fillId="42" borderId="20" xfId="228" applyFont="1" applyFill="1" applyBorder="1" applyAlignment="1">
      <alignment horizontal="center" vertical="center"/>
      <protection/>
    </xf>
    <xf numFmtId="0" fontId="50" fillId="39" borderId="21" xfId="228" applyFont="1" applyFill="1" applyBorder="1" applyAlignment="1">
      <alignment horizontal="center" vertical="center"/>
      <protection/>
    </xf>
    <xf numFmtId="0" fontId="50" fillId="39" borderId="19" xfId="228" applyFont="1" applyFill="1" applyBorder="1" applyAlignment="1">
      <alignment horizontal="center" vertical="center"/>
      <protection/>
    </xf>
    <xf numFmtId="0" fontId="77" fillId="8" borderId="13" xfId="228" applyFont="1" applyFill="1" applyBorder="1" applyAlignment="1">
      <alignment horizontal="center" vertical="center"/>
      <protection/>
    </xf>
    <xf numFmtId="0" fontId="77" fillId="8" borderId="11" xfId="228" applyFont="1" applyFill="1" applyBorder="1" applyAlignment="1">
      <alignment horizontal="center" vertical="center"/>
      <protection/>
    </xf>
    <xf numFmtId="0" fontId="77" fillId="8" borderId="34" xfId="228" applyFont="1" applyFill="1" applyBorder="1" applyAlignment="1">
      <alignment horizontal="center" vertical="center"/>
      <protection/>
    </xf>
    <xf numFmtId="0" fontId="77" fillId="8" borderId="12" xfId="228" applyFont="1" applyFill="1" applyBorder="1" applyAlignment="1">
      <alignment horizontal="center" vertical="center"/>
      <protection/>
    </xf>
    <xf numFmtId="0" fontId="77" fillId="8" borderId="28" xfId="228" applyFont="1" applyFill="1" applyBorder="1" applyAlignment="1">
      <alignment horizontal="center" vertical="center"/>
      <protection/>
    </xf>
    <xf numFmtId="0" fontId="77" fillId="8" borderId="16" xfId="228" applyFont="1" applyFill="1" applyBorder="1" applyAlignment="1">
      <alignment horizontal="center" vertical="center" wrapText="1"/>
      <protection/>
    </xf>
    <xf numFmtId="0" fontId="77" fillId="0" borderId="10" xfId="228" applyFont="1" applyBorder="1" applyAlignment="1">
      <alignment horizontal="center" vertical="center"/>
      <protection/>
    </xf>
    <xf numFmtId="0" fontId="77" fillId="8" borderId="16" xfId="228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4" fillId="0" borderId="0" xfId="228" applyFont="1" applyFill="1" applyBorder="1" applyAlignment="1">
      <alignment horizontal="center"/>
      <protection/>
    </xf>
    <xf numFmtId="172" fontId="14" fillId="0" borderId="27" xfId="53" applyNumberFormat="1" applyFont="1" applyFill="1" applyBorder="1" applyAlignment="1">
      <alignment horizontal="left" vertical="center" wrapText="1"/>
      <protection/>
    </xf>
    <xf numFmtId="172" fontId="14" fillId="0" borderId="17" xfId="53" applyNumberFormat="1" applyFont="1" applyFill="1" applyBorder="1" applyAlignment="1">
      <alignment horizontal="left" vertical="center" wrapText="1"/>
      <protection/>
    </xf>
    <xf numFmtId="172" fontId="4" fillId="0" borderId="27" xfId="53" applyNumberFormat="1" applyFont="1" applyFill="1" applyBorder="1" applyAlignment="1">
      <alignment horizontal="center" vertical="center" wrapText="1"/>
      <protection/>
    </xf>
    <xf numFmtId="172" fontId="4" fillId="0" borderId="17" xfId="53" applyNumberFormat="1" applyFont="1" applyFill="1" applyBorder="1" applyAlignment="1">
      <alignment horizontal="center" vertical="center" wrapText="1"/>
      <protection/>
    </xf>
    <xf numFmtId="0" fontId="0" fillId="0" borderId="10" xfId="228" applyFont="1" applyBorder="1" applyAlignment="1">
      <alignment horizontal="left" vertical="center" wrapText="1"/>
      <protection/>
    </xf>
    <xf numFmtId="0" fontId="77" fillId="8" borderId="10" xfId="228" applyFont="1" applyFill="1" applyBorder="1" applyAlignment="1">
      <alignment horizontal="center" wrapText="1"/>
      <protection/>
    </xf>
    <xf numFmtId="0" fontId="0" fillId="0" borderId="0" xfId="228" applyFont="1" applyBorder="1" applyAlignment="1">
      <alignment horizontal="center"/>
      <protection/>
    </xf>
    <xf numFmtId="0" fontId="50" fillId="39" borderId="18" xfId="228" applyFont="1" applyFill="1" applyBorder="1" applyAlignment="1">
      <alignment horizontal="center"/>
      <protection/>
    </xf>
    <xf numFmtId="0" fontId="50" fillId="39" borderId="19" xfId="228" applyFont="1" applyFill="1" applyBorder="1" applyAlignment="1">
      <alignment horizontal="center"/>
      <protection/>
    </xf>
    <xf numFmtId="0" fontId="24" fillId="0" borderId="0" xfId="228" applyFont="1" applyFill="1" applyBorder="1" applyAlignment="1">
      <alignment horizontal="left"/>
      <protection/>
    </xf>
  </cellXfs>
  <cellStyles count="43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10" xfId="51"/>
    <cellStyle name="Normal 2" xfId="52"/>
    <cellStyle name="Normal 2 10" xfId="53"/>
    <cellStyle name="Normal 2 11" xfId="54"/>
    <cellStyle name="Normal 2 12" xfId="55"/>
    <cellStyle name="Normal 2 13" xfId="56"/>
    <cellStyle name="Normal 2 14" xfId="57"/>
    <cellStyle name="Normal 2 15" xfId="58"/>
    <cellStyle name="Normal 2 16" xfId="59"/>
    <cellStyle name="Normal 2 17" xfId="60"/>
    <cellStyle name="Normal 2 18" xfId="61"/>
    <cellStyle name="Normal 2 19" xfId="62"/>
    <cellStyle name="Normal 2 2" xfId="63"/>
    <cellStyle name="Normal 2 2 10" xfId="64"/>
    <cellStyle name="Normal 2 2 11" xfId="65"/>
    <cellStyle name="Normal 2 2 12" xfId="66"/>
    <cellStyle name="Normal 2 2 13" xfId="67"/>
    <cellStyle name="Normal 2 2 14" xfId="68"/>
    <cellStyle name="Normal 2 2 15" xfId="69"/>
    <cellStyle name="Normal 2 2 16" xfId="70"/>
    <cellStyle name="Normal 2 2 17" xfId="71"/>
    <cellStyle name="Normal 2 2 18" xfId="72"/>
    <cellStyle name="Normal 2 2 19" xfId="73"/>
    <cellStyle name="Normal 2 2 2" xfId="74"/>
    <cellStyle name="Normal 2 2 20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20" xfId="83"/>
    <cellStyle name="Normal 2 21" xfId="84"/>
    <cellStyle name="Normal 2 22" xfId="85"/>
    <cellStyle name="Normal 2 23" xfId="86"/>
    <cellStyle name="Normal 2 24" xfId="87"/>
    <cellStyle name="Normal 2 25" xfId="88"/>
    <cellStyle name="Normal 2 26" xfId="89"/>
    <cellStyle name="Normal 2 27" xfId="90"/>
    <cellStyle name="Normal 2 3" xfId="91"/>
    <cellStyle name="Normal 2 3 10" xfId="92"/>
    <cellStyle name="Normal 2 3 11" xfId="93"/>
    <cellStyle name="Normal 2 3 12" xfId="94"/>
    <cellStyle name="Normal 2 3 13" xfId="95"/>
    <cellStyle name="Normal 2 3 14" xfId="96"/>
    <cellStyle name="Normal 2 3 15" xfId="97"/>
    <cellStyle name="Normal 2 3 16" xfId="98"/>
    <cellStyle name="Normal 2 3 17" xfId="99"/>
    <cellStyle name="Normal 2 3 18" xfId="100"/>
    <cellStyle name="Normal 2 3 19" xfId="101"/>
    <cellStyle name="Normal 2 3 2" xfId="102"/>
    <cellStyle name="Normal 2 3 20" xfId="103"/>
    <cellStyle name="Normal 2 3 3" xfId="104"/>
    <cellStyle name="Normal 2 3 4" xfId="105"/>
    <cellStyle name="Normal 2 3 5" xfId="106"/>
    <cellStyle name="Normal 2 3 6" xfId="107"/>
    <cellStyle name="Normal 2 3 7" xfId="108"/>
    <cellStyle name="Normal 2 3 8" xfId="109"/>
    <cellStyle name="Normal 2 3 9" xfId="110"/>
    <cellStyle name="Normal 2 4" xfId="111"/>
    <cellStyle name="Normal 2 4 10" xfId="112"/>
    <cellStyle name="Normal 2 4 11" xfId="113"/>
    <cellStyle name="Normal 2 4 12" xfId="114"/>
    <cellStyle name="Normal 2 4 13" xfId="115"/>
    <cellStyle name="Normal 2 4 14" xfId="116"/>
    <cellStyle name="Normal 2 4 15" xfId="117"/>
    <cellStyle name="Normal 2 4 16" xfId="118"/>
    <cellStyle name="Normal 2 4 17" xfId="119"/>
    <cellStyle name="Normal 2 4 18" xfId="120"/>
    <cellStyle name="Normal 2 4 19" xfId="121"/>
    <cellStyle name="Normal 2 4 2" xfId="122"/>
    <cellStyle name="Normal 2 4 20" xfId="123"/>
    <cellStyle name="Normal 2 4 3" xfId="124"/>
    <cellStyle name="Normal 2 4 4" xfId="125"/>
    <cellStyle name="Normal 2 4 5" xfId="126"/>
    <cellStyle name="Normal 2 4 6" xfId="127"/>
    <cellStyle name="Normal 2 4 7" xfId="128"/>
    <cellStyle name="Normal 2 4 8" xfId="129"/>
    <cellStyle name="Normal 2 4 9" xfId="130"/>
    <cellStyle name="Normal 2 5" xfId="131"/>
    <cellStyle name="Normal 2 5 10" xfId="132"/>
    <cellStyle name="Normal 2 5 11" xfId="133"/>
    <cellStyle name="Normal 2 5 12" xfId="134"/>
    <cellStyle name="Normal 2 5 13" xfId="135"/>
    <cellStyle name="Normal 2 5 14" xfId="136"/>
    <cellStyle name="Normal 2 5 15" xfId="137"/>
    <cellStyle name="Normal 2 5 16" xfId="138"/>
    <cellStyle name="Normal 2 5 17" xfId="139"/>
    <cellStyle name="Normal 2 5 18" xfId="140"/>
    <cellStyle name="Normal 2 5 19" xfId="141"/>
    <cellStyle name="Normal 2 5 2" xfId="142"/>
    <cellStyle name="Normal 2 5 20" xfId="143"/>
    <cellStyle name="Normal 2 5 3" xfId="144"/>
    <cellStyle name="Normal 2 5 4" xfId="145"/>
    <cellStyle name="Normal 2 5 5" xfId="146"/>
    <cellStyle name="Normal 2 5 6" xfId="147"/>
    <cellStyle name="Normal 2 5 7" xfId="148"/>
    <cellStyle name="Normal 2 5 8" xfId="149"/>
    <cellStyle name="Normal 2 5 9" xfId="150"/>
    <cellStyle name="Normal 2 6" xfId="151"/>
    <cellStyle name="Normal 2 6 10" xfId="152"/>
    <cellStyle name="Normal 2 6 11" xfId="153"/>
    <cellStyle name="Normal 2 6 12" xfId="154"/>
    <cellStyle name="Normal 2 6 13" xfId="155"/>
    <cellStyle name="Normal 2 6 14" xfId="156"/>
    <cellStyle name="Normal 2 6 15" xfId="157"/>
    <cellStyle name="Normal 2 6 16" xfId="158"/>
    <cellStyle name="Normal 2 6 17" xfId="159"/>
    <cellStyle name="Normal 2 6 18" xfId="160"/>
    <cellStyle name="Normal 2 6 19" xfId="161"/>
    <cellStyle name="Normal 2 6 2" xfId="162"/>
    <cellStyle name="Normal 2 6 20" xfId="163"/>
    <cellStyle name="Normal 2 6 3" xfId="164"/>
    <cellStyle name="Normal 2 6 4" xfId="165"/>
    <cellStyle name="Normal 2 6 5" xfId="166"/>
    <cellStyle name="Normal 2 6 6" xfId="167"/>
    <cellStyle name="Normal 2 6 7" xfId="168"/>
    <cellStyle name="Normal 2 6 8" xfId="169"/>
    <cellStyle name="Normal 2 6 9" xfId="170"/>
    <cellStyle name="Normal 2 7" xfId="171"/>
    <cellStyle name="Normal 2 7 10" xfId="172"/>
    <cellStyle name="Normal 2 7 11" xfId="173"/>
    <cellStyle name="Normal 2 7 12" xfId="174"/>
    <cellStyle name="Normal 2 7 13" xfId="175"/>
    <cellStyle name="Normal 2 7 14" xfId="176"/>
    <cellStyle name="Normal 2 7 15" xfId="177"/>
    <cellStyle name="Normal 2 7 16" xfId="178"/>
    <cellStyle name="Normal 2 7 17" xfId="179"/>
    <cellStyle name="Normal 2 7 18" xfId="180"/>
    <cellStyle name="Normal 2 7 19" xfId="181"/>
    <cellStyle name="Normal 2 7 2" xfId="182"/>
    <cellStyle name="Normal 2 7 20" xfId="183"/>
    <cellStyle name="Normal 2 7 3" xfId="184"/>
    <cellStyle name="Normal 2 7 4" xfId="185"/>
    <cellStyle name="Normal 2 7 5" xfId="186"/>
    <cellStyle name="Normal 2 7 6" xfId="187"/>
    <cellStyle name="Normal 2 7 7" xfId="188"/>
    <cellStyle name="Normal 2 7 8" xfId="189"/>
    <cellStyle name="Normal 2 7 9" xfId="190"/>
    <cellStyle name="Normal 2 8" xfId="191"/>
    <cellStyle name="Normal 2 9" xfId="192"/>
    <cellStyle name="Normal 2_Planilha Valença" xfId="193"/>
    <cellStyle name="Normal 29" xfId="194"/>
    <cellStyle name="Normal 3" xfId="195"/>
    <cellStyle name="Normal 3 10" xfId="196"/>
    <cellStyle name="Normal 3 11" xfId="197"/>
    <cellStyle name="Normal 3 12" xfId="198"/>
    <cellStyle name="Normal 3 13" xfId="199"/>
    <cellStyle name="Normal 3 14" xfId="200"/>
    <cellStyle name="Normal 3 15" xfId="201"/>
    <cellStyle name="Normal 3 16" xfId="202"/>
    <cellStyle name="Normal 3 17" xfId="203"/>
    <cellStyle name="Normal 3 18" xfId="204"/>
    <cellStyle name="Normal 3 19" xfId="205"/>
    <cellStyle name="Normal 3 2" xfId="206"/>
    <cellStyle name="Normal 3 20" xfId="207"/>
    <cellStyle name="Normal 3 21" xfId="208"/>
    <cellStyle name="Normal 3 3" xfId="209"/>
    <cellStyle name="Normal 3 4" xfId="210"/>
    <cellStyle name="Normal 3 5" xfId="211"/>
    <cellStyle name="Normal 3 6" xfId="212"/>
    <cellStyle name="Normal 3 7" xfId="213"/>
    <cellStyle name="Normal 3 8" xfId="214"/>
    <cellStyle name="Normal 3 9" xfId="215"/>
    <cellStyle name="Normal 4" xfId="216"/>
    <cellStyle name="Normal 4 10" xfId="217"/>
    <cellStyle name="Normal 4 11" xfId="218"/>
    <cellStyle name="Normal 4 12" xfId="219"/>
    <cellStyle name="Normal 4 13" xfId="220"/>
    <cellStyle name="Normal 4 14" xfId="221"/>
    <cellStyle name="Normal 4 15" xfId="222"/>
    <cellStyle name="Normal 4 16" xfId="223"/>
    <cellStyle name="Normal 4 17" xfId="224"/>
    <cellStyle name="Normal 4 18" xfId="225"/>
    <cellStyle name="Normal 4 19" xfId="226"/>
    <cellStyle name="Normal 4 2" xfId="227"/>
    <cellStyle name="Normal 4 2 3 2" xfId="228"/>
    <cellStyle name="Normal 4 20" xfId="229"/>
    <cellStyle name="Normal 4 3" xfId="230"/>
    <cellStyle name="Normal 4 4" xfId="231"/>
    <cellStyle name="Normal 4 5" xfId="232"/>
    <cellStyle name="Normal 4 6" xfId="233"/>
    <cellStyle name="Normal 4 7" xfId="234"/>
    <cellStyle name="Normal 4 8" xfId="235"/>
    <cellStyle name="Normal 4 9" xfId="236"/>
    <cellStyle name="Normal 5" xfId="237"/>
    <cellStyle name="Normal 5 10" xfId="238"/>
    <cellStyle name="Normal 5 11" xfId="239"/>
    <cellStyle name="Normal 5 12" xfId="240"/>
    <cellStyle name="Normal 5 13" xfId="241"/>
    <cellStyle name="Normal 5 14" xfId="242"/>
    <cellStyle name="Normal 5 15" xfId="243"/>
    <cellStyle name="Normal 5 16" xfId="244"/>
    <cellStyle name="Normal 5 17" xfId="245"/>
    <cellStyle name="Normal 5 18" xfId="246"/>
    <cellStyle name="Normal 5 19" xfId="247"/>
    <cellStyle name="Normal 5 2" xfId="248"/>
    <cellStyle name="Normal 5 20" xfId="249"/>
    <cellStyle name="Normal 5 3" xfId="250"/>
    <cellStyle name="Normal 5 4" xfId="251"/>
    <cellStyle name="Normal 5 5" xfId="252"/>
    <cellStyle name="Normal 5 6" xfId="253"/>
    <cellStyle name="Normal 5 7" xfId="254"/>
    <cellStyle name="Normal 5 8" xfId="255"/>
    <cellStyle name="Normal 5 9" xfId="256"/>
    <cellStyle name="Normal 6" xfId="257"/>
    <cellStyle name="Normal 6 10" xfId="258"/>
    <cellStyle name="Normal 6 11" xfId="259"/>
    <cellStyle name="Normal 6 12" xfId="260"/>
    <cellStyle name="Normal 6 13" xfId="261"/>
    <cellStyle name="Normal 6 14" xfId="262"/>
    <cellStyle name="Normal 6 15" xfId="263"/>
    <cellStyle name="Normal 6 16" xfId="264"/>
    <cellStyle name="Normal 6 17" xfId="265"/>
    <cellStyle name="Normal 6 18" xfId="266"/>
    <cellStyle name="Normal 6 19" xfId="267"/>
    <cellStyle name="Normal 6 2" xfId="268"/>
    <cellStyle name="Normal 6 20" xfId="269"/>
    <cellStyle name="Normal 6 3" xfId="270"/>
    <cellStyle name="Normal 6 4" xfId="271"/>
    <cellStyle name="Normal 6 5" xfId="272"/>
    <cellStyle name="Normal 6 6" xfId="273"/>
    <cellStyle name="Normal 6 7" xfId="274"/>
    <cellStyle name="Normal 6 8" xfId="275"/>
    <cellStyle name="Normal 6 9" xfId="276"/>
    <cellStyle name="Normal 7" xfId="277"/>
    <cellStyle name="Normal 7 10" xfId="278"/>
    <cellStyle name="Normal 7 11" xfId="279"/>
    <cellStyle name="Normal 7 12" xfId="280"/>
    <cellStyle name="Normal 7 13" xfId="281"/>
    <cellStyle name="Normal 7 14" xfId="282"/>
    <cellStyle name="Normal 7 15" xfId="283"/>
    <cellStyle name="Normal 7 16" xfId="284"/>
    <cellStyle name="Normal 7 17" xfId="285"/>
    <cellStyle name="Normal 7 18" xfId="286"/>
    <cellStyle name="Normal 7 19" xfId="287"/>
    <cellStyle name="Normal 7 2" xfId="288"/>
    <cellStyle name="Normal 7 20" xfId="289"/>
    <cellStyle name="Normal 7 3" xfId="290"/>
    <cellStyle name="Normal 7 4" xfId="291"/>
    <cellStyle name="Normal 7 5" xfId="292"/>
    <cellStyle name="Normal 7 6" xfId="293"/>
    <cellStyle name="Normal 7 7" xfId="294"/>
    <cellStyle name="Normal 7 8" xfId="295"/>
    <cellStyle name="Normal 7 9" xfId="296"/>
    <cellStyle name="Normal 8" xfId="297"/>
    <cellStyle name="Normal 9" xfId="298"/>
    <cellStyle name="Normal_ORÇAMENTO-HAB" xfId="299"/>
    <cellStyle name="Normal_Planilha Elesbão Veloso - Urgência e Acesso Lavanderia" xfId="300"/>
    <cellStyle name="Nota" xfId="301"/>
    <cellStyle name="Percent" xfId="302"/>
    <cellStyle name="Porcentagem 2" xfId="303"/>
    <cellStyle name="Porcentagem 2 2" xfId="304"/>
    <cellStyle name="Porcentagem 2 3" xfId="305"/>
    <cellStyle name="Porcentagem 3" xfId="306"/>
    <cellStyle name="Saída" xfId="307"/>
    <cellStyle name="Comma" xfId="308"/>
    <cellStyle name="Comma [0]" xfId="309"/>
    <cellStyle name="Separador de milhares 10" xfId="310"/>
    <cellStyle name="Separador de milhares 11" xfId="311"/>
    <cellStyle name="Separador de milhares 2" xfId="312"/>
    <cellStyle name="Separador de milhares 2 10" xfId="313"/>
    <cellStyle name="Separador de milhares 2 11" xfId="314"/>
    <cellStyle name="Separador de milhares 2 12" xfId="315"/>
    <cellStyle name="Separador de milhares 2 13" xfId="316"/>
    <cellStyle name="Separador de milhares 2 14" xfId="317"/>
    <cellStyle name="Separador de milhares 2 15" xfId="318"/>
    <cellStyle name="Separador de milhares 2 16" xfId="319"/>
    <cellStyle name="Separador de milhares 2 17" xfId="320"/>
    <cellStyle name="Separador de milhares 2 18" xfId="321"/>
    <cellStyle name="Separador de milhares 2 19" xfId="322"/>
    <cellStyle name="Separador de milhares 2 2" xfId="323"/>
    <cellStyle name="Separador de milhares 2 20" xfId="324"/>
    <cellStyle name="Separador de milhares 2 21" xfId="325"/>
    <cellStyle name="Separador de milhares 2 3" xfId="326"/>
    <cellStyle name="Separador de milhares 2 4" xfId="327"/>
    <cellStyle name="Separador de milhares 2 5" xfId="328"/>
    <cellStyle name="Separador de milhares 2 6" xfId="329"/>
    <cellStyle name="Separador de milhares 2 7" xfId="330"/>
    <cellStyle name="Separador de milhares 2 8" xfId="331"/>
    <cellStyle name="Separador de milhares 2 9" xfId="332"/>
    <cellStyle name="Separador de milhares 29" xfId="333"/>
    <cellStyle name="Separador de milhares 3" xfId="334"/>
    <cellStyle name="Separador de milhares 3 10" xfId="335"/>
    <cellStyle name="Separador de milhares 3 11" xfId="336"/>
    <cellStyle name="Separador de milhares 3 12" xfId="337"/>
    <cellStyle name="Separador de milhares 3 13" xfId="338"/>
    <cellStyle name="Separador de milhares 3 14" xfId="339"/>
    <cellStyle name="Separador de milhares 3 15" xfId="340"/>
    <cellStyle name="Separador de milhares 3 16" xfId="341"/>
    <cellStyle name="Separador de milhares 3 17" xfId="342"/>
    <cellStyle name="Separador de milhares 3 18" xfId="343"/>
    <cellStyle name="Separador de milhares 3 19" xfId="344"/>
    <cellStyle name="Separador de milhares 3 2" xfId="345"/>
    <cellStyle name="Separador de milhares 3 20" xfId="346"/>
    <cellStyle name="Separador de milhares 3 3" xfId="347"/>
    <cellStyle name="Separador de milhares 3 4" xfId="348"/>
    <cellStyle name="Separador de milhares 3 5" xfId="349"/>
    <cellStyle name="Separador de milhares 3 6" xfId="350"/>
    <cellStyle name="Separador de milhares 3 7" xfId="351"/>
    <cellStyle name="Separador de milhares 3 8" xfId="352"/>
    <cellStyle name="Separador de milhares 3 9" xfId="353"/>
    <cellStyle name="Separador de milhares 4" xfId="354"/>
    <cellStyle name="Separador de milhares 4 10" xfId="355"/>
    <cellStyle name="Separador de milhares 4 11" xfId="356"/>
    <cellStyle name="Separador de milhares 4 12" xfId="357"/>
    <cellStyle name="Separador de milhares 4 13" xfId="358"/>
    <cellStyle name="Separador de milhares 4 14" xfId="359"/>
    <cellStyle name="Separador de milhares 4 15" xfId="360"/>
    <cellStyle name="Separador de milhares 4 16" xfId="361"/>
    <cellStyle name="Separador de milhares 4 17" xfId="362"/>
    <cellStyle name="Separador de milhares 4 18" xfId="363"/>
    <cellStyle name="Separador de milhares 4 19" xfId="364"/>
    <cellStyle name="Separador de milhares 4 2" xfId="365"/>
    <cellStyle name="Separador de milhares 4 20" xfId="366"/>
    <cellStyle name="Separador de milhares 4 3" xfId="367"/>
    <cellStyle name="Separador de milhares 4 4" xfId="368"/>
    <cellStyle name="Separador de milhares 4 5" xfId="369"/>
    <cellStyle name="Separador de milhares 4 6" xfId="370"/>
    <cellStyle name="Separador de milhares 4 7" xfId="371"/>
    <cellStyle name="Separador de milhares 4 8" xfId="372"/>
    <cellStyle name="Separador de milhares 4 9" xfId="373"/>
    <cellStyle name="Separador de milhares 5" xfId="374"/>
    <cellStyle name="Separador de milhares 5 10" xfId="375"/>
    <cellStyle name="Separador de milhares 5 11" xfId="376"/>
    <cellStyle name="Separador de milhares 5 12" xfId="377"/>
    <cellStyle name="Separador de milhares 5 13" xfId="378"/>
    <cellStyle name="Separador de milhares 5 14" xfId="379"/>
    <cellStyle name="Separador de milhares 5 15" xfId="380"/>
    <cellStyle name="Separador de milhares 5 16" xfId="381"/>
    <cellStyle name="Separador de milhares 5 17" xfId="382"/>
    <cellStyle name="Separador de milhares 5 18" xfId="383"/>
    <cellStyle name="Separador de milhares 5 19" xfId="384"/>
    <cellStyle name="Separador de milhares 5 2" xfId="385"/>
    <cellStyle name="Separador de milhares 5 20" xfId="386"/>
    <cellStyle name="Separador de milhares 5 3" xfId="387"/>
    <cellStyle name="Separador de milhares 5 4" xfId="388"/>
    <cellStyle name="Separador de milhares 5 5" xfId="389"/>
    <cellStyle name="Separador de milhares 5 6" xfId="390"/>
    <cellStyle name="Separador de milhares 5 7" xfId="391"/>
    <cellStyle name="Separador de milhares 5 8" xfId="392"/>
    <cellStyle name="Separador de milhares 5 9" xfId="393"/>
    <cellStyle name="Separador de milhares 6" xfId="394"/>
    <cellStyle name="Separador de milhares 6 10" xfId="395"/>
    <cellStyle name="Separador de milhares 6 11" xfId="396"/>
    <cellStyle name="Separador de milhares 6 12" xfId="397"/>
    <cellStyle name="Separador de milhares 6 13" xfId="398"/>
    <cellStyle name="Separador de milhares 6 14" xfId="399"/>
    <cellStyle name="Separador de milhares 6 15" xfId="400"/>
    <cellStyle name="Separador de milhares 6 16" xfId="401"/>
    <cellStyle name="Separador de milhares 6 17" xfId="402"/>
    <cellStyle name="Separador de milhares 6 18" xfId="403"/>
    <cellStyle name="Separador de milhares 6 19" xfId="404"/>
    <cellStyle name="Separador de milhares 6 2" xfId="405"/>
    <cellStyle name="Separador de milhares 6 20" xfId="406"/>
    <cellStyle name="Separador de milhares 6 3" xfId="407"/>
    <cellStyle name="Separador de milhares 6 4" xfId="408"/>
    <cellStyle name="Separador de milhares 6 5" xfId="409"/>
    <cellStyle name="Separador de milhares 6 6" xfId="410"/>
    <cellStyle name="Separador de milhares 6 7" xfId="411"/>
    <cellStyle name="Separador de milhares 6 8" xfId="412"/>
    <cellStyle name="Separador de milhares 6 9" xfId="413"/>
    <cellStyle name="Separador de milhares 7" xfId="414"/>
    <cellStyle name="Separador de milhares 7 10" xfId="415"/>
    <cellStyle name="Separador de milhares 7 11" xfId="416"/>
    <cellStyle name="Separador de milhares 7 12" xfId="417"/>
    <cellStyle name="Separador de milhares 7 13" xfId="418"/>
    <cellStyle name="Separador de milhares 7 14" xfId="419"/>
    <cellStyle name="Separador de milhares 7 15" xfId="420"/>
    <cellStyle name="Separador de milhares 7 16" xfId="421"/>
    <cellStyle name="Separador de milhares 7 17" xfId="422"/>
    <cellStyle name="Separador de milhares 7 18" xfId="423"/>
    <cellStyle name="Separador de milhares 7 19" xfId="424"/>
    <cellStyle name="Separador de milhares 7 2" xfId="425"/>
    <cellStyle name="Separador de milhares 7 20" xfId="426"/>
    <cellStyle name="Separador de milhares 7 3" xfId="427"/>
    <cellStyle name="Separador de milhares 7 4" xfId="428"/>
    <cellStyle name="Separador de milhares 7 5" xfId="429"/>
    <cellStyle name="Separador de milhares 7 6" xfId="430"/>
    <cellStyle name="Separador de milhares 7 7" xfId="431"/>
    <cellStyle name="Separador de milhares 7 8" xfId="432"/>
    <cellStyle name="Separador de milhares 7 9" xfId="433"/>
    <cellStyle name="Separador de milhares 8" xfId="434"/>
    <cellStyle name="Separador de milhares 9" xfId="435"/>
    <cellStyle name="Separador de milhares 9 2" xfId="436"/>
    <cellStyle name="Texto de Aviso" xfId="437"/>
    <cellStyle name="Texto Explicativo" xfId="438"/>
    <cellStyle name="Título" xfId="439"/>
    <cellStyle name="Título 1" xfId="440"/>
    <cellStyle name="Título 2" xfId="441"/>
    <cellStyle name="Título 3" xfId="442"/>
    <cellStyle name="Título 4" xfId="443"/>
    <cellStyle name="Total" xfId="444"/>
    <cellStyle name="Vírgula 2" xfId="4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1</xdr:row>
      <xdr:rowOff>9525</xdr:rowOff>
    </xdr:from>
    <xdr:to>
      <xdr:col>3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90800" y="200025"/>
          <a:ext cx="2638425" cy="15906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1</xdr:col>
      <xdr:colOff>266700</xdr:colOff>
      <xdr:row>1</xdr:row>
      <xdr:rowOff>180975</xdr:rowOff>
    </xdr:from>
    <xdr:to>
      <xdr:col>2</xdr:col>
      <xdr:colOff>1181100</xdr:colOff>
      <xdr:row>6</xdr:row>
      <xdr:rowOff>123825</xdr:rowOff>
    </xdr:to>
    <xdr:pic>
      <xdr:nvPicPr>
        <xdr:cNvPr id="2" name="Imagem 2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71475"/>
          <a:ext cx="1514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5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19475" y="200025"/>
          <a:ext cx="4019550" cy="15906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5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85725</xdr:rowOff>
    </xdr:from>
    <xdr:to>
      <xdr:col>3</xdr:col>
      <xdr:colOff>561975</xdr:colOff>
      <xdr:row>6</xdr:row>
      <xdr:rowOff>104775</xdr:rowOff>
    </xdr:to>
    <xdr:pic>
      <xdr:nvPicPr>
        <xdr:cNvPr id="2" name="Imagem 2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76225"/>
          <a:ext cx="16097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1</xdr:row>
      <xdr:rowOff>9525</xdr:rowOff>
    </xdr:from>
    <xdr:to>
      <xdr:col>4</xdr:col>
      <xdr:colOff>1047750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28925" y="200025"/>
          <a:ext cx="3248025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1</xdr:col>
      <xdr:colOff>352425</xdr:colOff>
      <xdr:row>1</xdr:row>
      <xdr:rowOff>133350</xdr:rowOff>
    </xdr:from>
    <xdr:to>
      <xdr:col>2</xdr:col>
      <xdr:colOff>1228725</xdr:colOff>
      <xdr:row>6</xdr:row>
      <xdr:rowOff>142875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3850"/>
          <a:ext cx="1485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2638425</xdr:colOff>
      <xdr:row>1</xdr:row>
      <xdr:rowOff>9525</xdr:rowOff>
    </xdr:from>
    <xdr:to>
      <xdr:col>5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200025"/>
          <a:ext cx="4695825" cy="18764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 editAs="oneCell">
    <xdr:from>
      <xdr:col>2</xdr:col>
      <xdr:colOff>180975</xdr:colOff>
      <xdr:row>1</xdr:row>
      <xdr:rowOff>85725</xdr:rowOff>
    </xdr:from>
    <xdr:to>
      <xdr:col>2</xdr:col>
      <xdr:colOff>1952625</xdr:colOff>
      <xdr:row>5</xdr:row>
      <xdr:rowOff>228600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76225"/>
          <a:ext cx="1771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1</xdr:row>
      <xdr:rowOff>9525</xdr:rowOff>
    </xdr:from>
    <xdr:to>
      <xdr:col>2</xdr:col>
      <xdr:colOff>3600450</xdr:colOff>
      <xdr:row>3</xdr:row>
      <xdr:rowOff>495300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0" y="238125"/>
          <a:ext cx="2495550" cy="14954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Secretaria Estadual</a:t>
          </a:r>
          <a:r>
            <a:rPr lang="en-US" cap="none" sz="2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da Saúde</a:t>
          </a:r>
        </a:p>
      </xdr:txBody>
    </xdr:sp>
    <xdr:clientData/>
  </xdr:twoCellAnchor>
  <xdr:twoCellAnchor editAs="oneCell">
    <xdr:from>
      <xdr:col>1</xdr:col>
      <xdr:colOff>352425</xdr:colOff>
      <xdr:row>1</xdr:row>
      <xdr:rowOff>133350</xdr:rowOff>
    </xdr:from>
    <xdr:to>
      <xdr:col>2</xdr:col>
      <xdr:colOff>666750</xdr:colOff>
      <xdr:row>3</xdr:row>
      <xdr:rowOff>419100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61950"/>
          <a:ext cx="1562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27</xdr:row>
      <xdr:rowOff>114300</xdr:rowOff>
    </xdr:from>
    <xdr:to>
      <xdr:col>5</xdr:col>
      <xdr:colOff>533400</xdr:colOff>
      <xdr:row>36</xdr:row>
      <xdr:rowOff>142875</xdr:rowOff>
    </xdr:to>
    <xdr:pic>
      <xdr:nvPicPr>
        <xdr:cNvPr id="1" name="Objeto 1"/>
        <xdr:cNvPicPr preferRelativeResize="1">
          <a:picLocks noChangeAspect="1"/>
        </xdr:cNvPicPr>
      </xdr:nvPicPr>
      <xdr:blipFill>
        <a:blip r:embed="rId1"/>
        <a:srcRect l="-2531" t="-5361" r="-3527" b="-29992"/>
        <a:stretch>
          <a:fillRect/>
        </a:stretch>
      </xdr:blipFill>
      <xdr:spPr>
        <a:xfrm>
          <a:off x="1800225" y="5810250"/>
          <a:ext cx="4819650" cy="20764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66675</xdr:colOff>
      <xdr:row>71</xdr:row>
      <xdr:rowOff>104775</xdr:rowOff>
    </xdr:from>
    <xdr:to>
      <xdr:col>17</xdr:col>
      <xdr:colOff>304800</xdr:colOff>
      <xdr:row>102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6059150"/>
          <a:ext cx="778192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26</xdr:row>
      <xdr:rowOff>104775</xdr:rowOff>
    </xdr:from>
    <xdr:to>
      <xdr:col>21</xdr:col>
      <xdr:colOff>190500</xdr:colOff>
      <xdr:row>44</xdr:row>
      <xdr:rowOff>9525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5600700"/>
          <a:ext cx="74199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133350</xdr:rowOff>
    </xdr:from>
    <xdr:to>
      <xdr:col>21</xdr:col>
      <xdr:colOff>190500</xdr:colOff>
      <xdr:row>21</xdr:row>
      <xdr:rowOff>28575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1085850"/>
          <a:ext cx="74390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45</xdr:row>
      <xdr:rowOff>114300</xdr:rowOff>
    </xdr:from>
    <xdr:to>
      <xdr:col>21</xdr:col>
      <xdr:colOff>161925</xdr:colOff>
      <xdr:row>58</xdr:row>
      <xdr:rowOff>104775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9675" y="10010775"/>
          <a:ext cx="74009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1704975</xdr:colOff>
      <xdr:row>2</xdr:row>
      <xdr:rowOff>9525</xdr:rowOff>
    </xdr:from>
    <xdr:to>
      <xdr:col>3</xdr:col>
      <xdr:colOff>9525</xdr:colOff>
      <xdr:row>8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314575" y="390525"/>
          <a:ext cx="1905000" cy="1133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1</xdr:col>
      <xdr:colOff>257175</xdr:colOff>
      <xdr:row>2</xdr:row>
      <xdr:rowOff>38100</xdr:rowOff>
    </xdr:from>
    <xdr:to>
      <xdr:col>1</xdr:col>
      <xdr:colOff>1514475</xdr:colOff>
      <xdr:row>7</xdr:row>
      <xdr:rowOff>161925</xdr:rowOff>
    </xdr:to>
    <xdr:pic>
      <xdr:nvPicPr>
        <xdr:cNvPr id="7" name="Imagem 9" descr="C:\Users\SESAPI\Desktop\brasao-governo-do-piaui201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419100"/>
          <a:ext cx="1257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38100</xdr:rowOff>
    </xdr:from>
    <xdr:to>
      <xdr:col>2</xdr:col>
      <xdr:colOff>419100</xdr:colOff>
      <xdr:row>6</xdr:row>
      <xdr:rowOff>114300</xdr:rowOff>
    </xdr:to>
    <xdr:pic>
      <xdr:nvPicPr>
        <xdr:cNvPr id="1" name="Imagem 2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19100"/>
          <a:ext cx="1190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1</xdr:row>
      <xdr:rowOff>9525</xdr:rowOff>
    </xdr:from>
    <xdr:to>
      <xdr:col>3</xdr:col>
      <xdr:colOff>1228725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95475" y="200025"/>
          <a:ext cx="1390650" cy="1133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38100</xdr:rowOff>
    </xdr:from>
    <xdr:to>
      <xdr:col>2</xdr:col>
      <xdr:colOff>419100</xdr:colOff>
      <xdr:row>6</xdr:row>
      <xdr:rowOff>133350</xdr:rowOff>
    </xdr:to>
    <xdr:pic>
      <xdr:nvPicPr>
        <xdr:cNvPr id="1" name="Imagem 2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19100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1</xdr:row>
      <xdr:rowOff>9525</xdr:rowOff>
    </xdr:from>
    <xdr:to>
      <xdr:col>3</xdr:col>
      <xdr:colOff>1228725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95475" y="200025"/>
          <a:ext cx="1390650" cy="1133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B2:P45"/>
  <sheetViews>
    <sheetView view="pageBreakPreview" zoomScale="82" zoomScaleNormal="86" zoomScaleSheetLayoutView="82" zoomScalePageLayoutView="0" workbookViewId="0" topLeftCell="A1">
      <selection activeCell="C14" sqref="C14"/>
    </sheetView>
  </sheetViews>
  <sheetFormatPr defaultColWidth="9.140625" defaultRowHeight="15"/>
  <cols>
    <col min="2" max="2" width="9.00390625" style="0" customWidth="1"/>
    <col min="3" max="3" width="60.28125" style="0" customWidth="1"/>
    <col min="4" max="4" width="43.140625" style="0" customWidth="1"/>
    <col min="5" max="5" width="16.28125" style="0" customWidth="1"/>
    <col min="6" max="6" width="12.7109375" style="0" customWidth="1"/>
    <col min="9" max="9" width="14.28125" style="0" customWidth="1"/>
  </cols>
  <sheetData>
    <row r="2" spans="2:6" ht="21" customHeight="1">
      <c r="B2" s="688"/>
      <c r="C2" s="689"/>
      <c r="D2" s="684" t="s">
        <v>40</v>
      </c>
      <c r="E2" s="684"/>
      <c r="F2" s="684"/>
    </row>
    <row r="3" spans="2:6" ht="21" customHeight="1">
      <c r="B3" s="690"/>
      <c r="C3" s="691"/>
      <c r="D3" s="684"/>
      <c r="E3" s="684"/>
      <c r="F3" s="684"/>
    </row>
    <row r="4" spans="2:6" ht="21" customHeight="1">
      <c r="B4" s="690"/>
      <c r="C4" s="691"/>
      <c r="D4" s="685" t="s">
        <v>41</v>
      </c>
      <c r="E4" s="685"/>
      <c r="F4" s="685"/>
    </row>
    <row r="5" spans="2:6" ht="21" customHeight="1">
      <c r="B5" s="690"/>
      <c r="C5" s="691"/>
      <c r="D5" s="685"/>
      <c r="E5" s="685"/>
      <c r="F5" s="685"/>
    </row>
    <row r="6" spans="2:16" ht="21" customHeight="1">
      <c r="B6" s="690"/>
      <c r="C6" s="691"/>
      <c r="D6" s="686" t="s">
        <v>29</v>
      </c>
      <c r="E6" s="686"/>
      <c r="F6" s="686"/>
      <c r="I6" s="324"/>
      <c r="J6" s="325"/>
      <c r="K6" s="325"/>
      <c r="L6" s="325"/>
      <c r="M6" s="325"/>
      <c r="N6" s="325"/>
      <c r="O6" s="325"/>
      <c r="P6" s="325"/>
    </row>
    <row r="7" spans="2:16" ht="21" customHeight="1">
      <c r="B7" s="692"/>
      <c r="C7" s="693"/>
      <c r="D7" s="686"/>
      <c r="E7" s="686"/>
      <c r="F7" s="686"/>
      <c r="I7" s="324"/>
      <c r="J7" s="325"/>
      <c r="K7" s="325"/>
      <c r="L7" s="325"/>
      <c r="M7" s="325"/>
      <c r="N7" s="325"/>
      <c r="O7" s="325"/>
      <c r="P7" s="325"/>
    </row>
    <row r="8" spans="2:16" ht="7.5" customHeight="1">
      <c r="B8" s="8"/>
      <c r="C8" s="9"/>
      <c r="D8" s="8"/>
      <c r="E8" s="13"/>
      <c r="F8" s="10"/>
      <c r="I8" s="325"/>
      <c r="J8" s="325"/>
      <c r="K8" s="325"/>
      <c r="L8" s="325"/>
      <c r="M8" s="325"/>
      <c r="N8" s="325"/>
      <c r="O8" s="325"/>
      <c r="P8" s="325"/>
    </row>
    <row r="9" spans="2:16" ht="30.75" customHeight="1">
      <c r="B9" s="674" t="s">
        <v>755</v>
      </c>
      <c r="C9" s="675"/>
      <c r="D9" s="674" t="s">
        <v>362</v>
      </c>
      <c r="E9" s="675"/>
      <c r="F9" s="687"/>
      <c r="I9" s="324"/>
      <c r="J9" s="325"/>
      <c r="K9" s="325"/>
      <c r="L9" s="325"/>
      <c r="M9" s="325"/>
      <c r="N9" s="325"/>
      <c r="O9" s="325"/>
      <c r="P9" s="325"/>
    </row>
    <row r="10" spans="2:16" ht="30.75" customHeight="1">
      <c r="B10" s="674" t="s">
        <v>234</v>
      </c>
      <c r="C10" s="675"/>
      <c r="D10" s="676" t="s">
        <v>293</v>
      </c>
      <c r="E10" s="677"/>
      <c r="F10" s="678"/>
      <c r="I10" s="325"/>
      <c r="J10" s="325"/>
      <c r="K10" s="325"/>
      <c r="L10" s="325"/>
      <c r="M10" s="325"/>
      <c r="N10" s="325"/>
      <c r="O10" s="325"/>
      <c r="P10" s="325"/>
    </row>
    <row r="11" spans="2:6" ht="7.5" customHeight="1" thickBot="1">
      <c r="B11" s="679"/>
      <c r="C11" s="680"/>
      <c r="D11" s="74"/>
      <c r="E11" s="68"/>
      <c r="F11" s="69"/>
    </row>
    <row r="12" spans="2:6" ht="33" customHeight="1" thickBot="1">
      <c r="B12" s="681" t="s">
        <v>258</v>
      </c>
      <c r="C12" s="682"/>
      <c r="D12" s="682"/>
      <c r="E12" s="682"/>
      <c r="F12" s="683"/>
    </row>
    <row r="13" spans="2:6" ht="7.5" customHeight="1" thickBot="1">
      <c r="B13" s="80"/>
      <c r="C13" s="81"/>
      <c r="D13" s="82"/>
      <c r="E13" s="85"/>
      <c r="F13" s="86"/>
    </row>
    <row r="14" spans="2:6" ht="22.5" customHeight="1" thickBot="1">
      <c r="B14" s="647" t="str">
        <f>'Pl Orçamentária'!B17</f>
        <v>1.00</v>
      </c>
      <c r="C14" s="412" t="str">
        <f>VLOOKUP(B14,'Pl Orçamentária'!$B$17:$L$238,4,FALSE)</f>
        <v>SERVIÇOS PRELIMINARES</v>
      </c>
      <c r="D14" s="413"/>
      <c r="E14" s="414">
        <f>VLOOKUP(B14,'Pl Orçamentária'!$B$17:$L$238,10,FALSE)</f>
        <v>9301.26</v>
      </c>
      <c r="F14" s="415">
        <f>E14/$E$36</f>
        <v>0.0628265737157472</v>
      </c>
    </row>
    <row r="15" spans="2:6" ht="7.5" customHeight="1" thickBot="1">
      <c r="B15" s="183"/>
      <c r="C15" s="274"/>
      <c r="D15" s="184"/>
      <c r="E15" s="275"/>
      <c r="F15" s="276"/>
    </row>
    <row r="16" spans="2:6" ht="22.5" customHeight="1" thickBot="1">
      <c r="B16" s="647" t="str">
        <f>'Pl Orçamentária'!B22</f>
        <v>2.00</v>
      </c>
      <c r="C16" s="412" t="str">
        <f>VLOOKUP(B16,'Pl Orçamentária'!$B$17:$L$238,4,FALSE)</f>
        <v>RETIRADAS E DEMOLIÇÕES</v>
      </c>
      <c r="D16" s="413"/>
      <c r="E16" s="414">
        <f>VLOOKUP(B16,'Pl Orçamentária'!$B$17:$L$238,10,FALSE)</f>
        <v>4269.48</v>
      </c>
      <c r="F16" s="415">
        <f>E16/$E$36</f>
        <v>0.02883875947429792</v>
      </c>
    </row>
    <row r="17" spans="2:6" ht="7.5" customHeight="1" thickBot="1">
      <c r="B17" s="177"/>
      <c r="C17" s="186"/>
      <c r="D17" s="179"/>
      <c r="E17" s="181"/>
      <c r="F17" s="182"/>
    </row>
    <row r="18" spans="2:6" ht="22.5" customHeight="1" thickBot="1">
      <c r="B18" s="647" t="str">
        <f>'Pl Orçamentária'!B34</f>
        <v>3.00</v>
      </c>
      <c r="C18" s="412" t="str">
        <f>VLOOKUP(B18,'Pl Orçamentária'!$B$17:$L$238,4,FALSE)</f>
        <v>COBERTURA</v>
      </c>
      <c r="D18" s="413"/>
      <c r="E18" s="414">
        <f>VLOOKUP(B18,'Pl Orçamentária'!$B$17:$L$238,10,FALSE)</f>
        <v>16947.38</v>
      </c>
      <c r="F18" s="415">
        <f>E18/$E$36</f>
        <v>0.1144732884425099</v>
      </c>
    </row>
    <row r="19" spans="2:6" ht="7.5" customHeight="1" thickBot="1">
      <c r="B19" s="187"/>
      <c r="C19" s="277"/>
      <c r="D19" s="179"/>
      <c r="E19" s="181"/>
      <c r="F19" s="182"/>
    </row>
    <row r="20" spans="2:6" ht="22.5" customHeight="1" thickBot="1">
      <c r="B20" s="647" t="str">
        <f>'Pl Orçamentária'!B39</f>
        <v>4.00</v>
      </c>
      <c r="C20" s="412" t="str">
        <f>VLOOKUP(B20,'Pl Orçamentária'!$B$17:$L$238,4,FALSE)</f>
        <v>ESQUADRIAS</v>
      </c>
      <c r="D20" s="413"/>
      <c r="E20" s="414">
        <f>VLOOKUP(B20,'Pl Orçamentária'!$B$17:$L$238,10,FALSE)</f>
        <v>23176.63</v>
      </c>
      <c r="F20" s="415">
        <f>E20/$E$36</f>
        <v>0.1565495699698318</v>
      </c>
    </row>
    <row r="21" spans="2:6" ht="7.5" customHeight="1" thickBot="1">
      <c r="B21" s="187"/>
      <c r="C21" s="277"/>
      <c r="D21" s="179"/>
      <c r="E21" s="181"/>
      <c r="F21" s="182"/>
    </row>
    <row r="22" spans="2:6" ht="22.5" customHeight="1" thickBot="1">
      <c r="B22" s="647" t="str">
        <f>'Pl Orçamentária'!B62</f>
        <v>5.00</v>
      </c>
      <c r="C22" s="438" t="str">
        <f>VLOOKUP(B22,'Pl Orçamentária'!$B$17:$L$238,4,FALSE)</f>
        <v>INSTALAÇÕES  HIDRO-SANITÁRIAS E COMBATE A INCÊNDIO</v>
      </c>
      <c r="D22" s="413"/>
      <c r="E22" s="414">
        <f>VLOOKUP(B22,'Pl Orçamentária'!$B$17:$L$238,10,FALSE)</f>
        <v>14596.11</v>
      </c>
      <c r="F22" s="415">
        <f>E22/$E$36</f>
        <v>0.0985913285810906</v>
      </c>
    </row>
    <row r="23" spans="2:6" ht="7.5" customHeight="1" thickBot="1">
      <c r="B23" s="187"/>
      <c r="C23" s="277"/>
      <c r="D23" s="179"/>
      <c r="E23" s="181"/>
      <c r="F23" s="182"/>
    </row>
    <row r="24" spans="2:6" ht="22.5" customHeight="1" thickBot="1">
      <c r="B24" s="647" t="str">
        <f>'Pl Orçamentária'!B90</f>
        <v>6.00</v>
      </c>
      <c r="C24" s="438" t="str">
        <f>VLOOKUP(B24,'Pl Orçamentária'!$B$17:$L$238,4,FALSE)</f>
        <v>INSTALAÇÕES ELÉTRICAS, LÓGICASE E COMBATE AO INCÊNDIO</v>
      </c>
      <c r="D24" s="413"/>
      <c r="E24" s="414">
        <f>VLOOKUP(B24,'Pl Orçamentária'!$B$17:$L$238,10,FALSE)</f>
        <v>7336.700000000001</v>
      </c>
      <c r="F24" s="415">
        <f>E24/$E$36</f>
        <v>0.04955669698302407</v>
      </c>
    </row>
    <row r="25" spans="2:6" ht="7.5" customHeight="1" thickBot="1">
      <c r="B25" s="187"/>
      <c r="C25" s="277"/>
      <c r="D25" s="179"/>
      <c r="E25" s="181"/>
      <c r="F25" s="182"/>
    </row>
    <row r="26" spans="2:6" ht="22.5" customHeight="1" thickBot="1">
      <c r="B26" s="647" t="str">
        <f>'Pl Orçamentária'!B116</f>
        <v>7.00</v>
      </c>
      <c r="C26" s="412" t="str">
        <f>VLOOKUP(B26,'Pl Orçamentária'!$B$17:$L$238,4,FALSE)</f>
        <v>REVESTIMENTO</v>
      </c>
      <c r="D26" s="413"/>
      <c r="E26" s="414">
        <f>VLOOKUP(B26,'Pl Orçamentária'!$B$17:$L$238,10,FALSE)</f>
        <v>2005.6399999999999</v>
      </c>
      <c r="F26" s="415">
        <f>E26/$E$36</f>
        <v>0.013547356950268154</v>
      </c>
    </row>
    <row r="27" spans="2:6" ht="7.5" customHeight="1" thickBot="1">
      <c r="B27" s="177"/>
      <c r="C27" s="186"/>
      <c r="D27" s="179"/>
      <c r="E27" s="181"/>
      <c r="F27" s="182"/>
    </row>
    <row r="28" spans="2:6" ht="22.5" customHeight="1" thickBot="1">
      <c r="B28" s="647" t="str">
        <f>'Pl Orçamentária'!B123</f>
        <v>8.00</v>
      </c>
      <c r="C28" s="412" t="str">
        <f>VLOOKUP(B28,'Pl Orçamentária'!$B$17:$L$238,4,FALSE)</f>
        <v>PAVIMENTAÇÃO</v>
      </c>
      <c r="D28" s="413"/>
      <c r="E28" s="414">
        <f>VLOOKUP(B28,'Pl Orçamentária'!$B$17:$L$238,10,FALSE)</f>
        <v>199.70999999999998</v>
      </c>
      <c r="F28" s="415">
        <f>E28/$E$36</f>
        <v>0.0013489672406503924</v>
      </c>
    </row>
    <row r="29" spans="2:6" ht="7.5" customHeight="1" thickBot="1">
      <c r="B29" s="177"/>
      <c r="C29" s="186"/>
      <c r="D29" s="179"/>
      <c r="E29" s="181"/>
      <c r="F29" s="182"/>
    </row>
    <row r="30" spans="2:6" ht="22.5" customHeight="1" thickBot="1">
      <c r="B30" s="647" t="str">
        <f>'Pl Orçamentária'!B128</f>
        <v>9.00</v>
      </c>
      <c r="C30" s="412" t="str">
        <f>VLOOKUP(B30,'Pl Orçamentária'!$B$17:$L$238,4,FALSE)</f>
        <v>PINTURA</v>
      </c>
      <c r="D30" s="413"/>
      <c r="E30" s="414">
        <f>VLOOKUP(B30,'Pl Orçamentária'!$B$17:$L$238,10,FALSE)</f>
        <v>36317.44</v>
      </c>
      <c r="F30" s="415">
        <f>E30/$E$36</f>
        <v>0.24531088490454256</v>
      </c>
    </row>
    <row r="31" spans="2:6" ht="7.5" customHeight="1" thickBot="1">
      <c r="B31" s="177"/>
      <c r="C31" s="186"/>
      <c r="D31" s="179"/>
      <c r="E31" s="181"/>
      <c r="F31" s="182"/>
    </row>
    <row r="32" spans="2:6" ht="22.5" customHeight="1" thickBot="1">
      <c r="B32" s="647" t="str">
        <f>'Pl Orçamentária'!B141</f>
        <v>10.00</v>
      </c>
      <c r="C32" s="412" t="s">
        <v>12</v>
      </c>
      <c r="D32" s="413"/>
      <c r="E32" s="414">
        <f>VLOOKUP(B32,'Pl Orçamentária'!$B$17:$L$238,10,FALSE)</f>
        <v>1212.31</v>
      </c>
      <c r="F32" s="415">
        <f>E32/$E$36</f>
        <v>0.008188706001266224</v>
      </c>
    </row>
    <row r="33" spans="2:6" ht="7.5" customHeight="1" thickBot="1">
      <c r="B33" s="177"/>
      <c r="C33" s="186"/>
      <c r="D33" s="179"/>
      <c r="E33" s="181"/>
      <c r="F33" s="182"/>
    </row>
    <row r="34" spans="2:6" ht="22.5" customHeight="1" thickBot="1">
      <c r="B34" s="647" t="str">
        <f>'Pl Orçamentária'!B145</f>
        <v>11.00</v>
      </c>
      <c r="C34" s="412" t="s">
        <v>12</v>
      </c>
      <c r="D34" s="413"/>
      <c r="E34" s="414">
        <f>VLOOKUP(B34,'Pl Orçamentária'!$B$17:$L$238,10,FALSE)</f>
        <v>32683.93</v>
      </c>
      <c r="F34" s="415">
        <f>E34/$E$36</f>
        <v>0.22076786773677126</v>
      </c>
    </row>
    <row r="35" spans="2:6" ht="7.5" customHeight="1" thickBot="1">
      <c r="B35" s="177"/>
      <c r="C35" s="186"/>
      <c r="D35" s="179"/>
      <c r="E35" s="181"/>
      <c r="F35" s="182"/>
    </row>
    <row r="36" spans="2:6" ht="22.5" customHeight="1" thickBot="1">
      <c r="B36" s="189"/>
      <c r="C36" s="190" t="s">
        <v>146</v>
      </c>
      <c r="D36" s="192"/>
      <c r="E36" s="195">
        <f>SUM(E14:E35)</f>
        <v>148046.59</v>
      </c>
      <c r="F36" s="196">
        <f>SUM(F14:F35)</f>
        <v>1</v>
      </c>
    </row>
    <row r="37" spans="2:6" ht="22.5" customHeight="1">
      <c r="B37" s="177"/>
      <c r="C37" s="260"/>
      <c r="D37" s="179"/>
      <c r="E37" s="181"/>
      <c r="F37" s="182"/>
    </row>
    <row r="38" spans="2:6" ht="22.5" customHeight="1">
      <c r="B38" s="177"/>
      <c r="C38" s="260"/>
      <c r="D38" s="179"/>
      <c r="E38" s="181"/>
      <c r="F38" s="182"/>
    </row>
    <row r="39" spans="2:6" ht="19.5" customHeight="1">
      <c r="B39" s="177"/>
      <c r="C39" s="186"/>
      <c r="D39" s="179"/>
      <c r="E39" s="181"/>
      <c r="F39" s="182"/>
    </row>
    <row r="45" ht="15">
      <c r="C45" s="325" t="str">
        <f>'Pl Orçamentária'!C247:E247</f>
        <v>Teresina (PI),  16 de Fevereiro de  2016</v>
      </c>
    </row>
  </sheetData>
  <sheetProtection/>
  <mergeCells count="10">
    <mergeCell ref="B10:C10"/>
    <mergeCell ref="D10:F10"/>
    <mergeCell ref="B11:C11"/>
    <mergeCell ref="B12:F12"/>
    <mergeCell ref="D2:F3"/>
    <mergeCell ref="D4:F5"/>
    <mergeCell ref="D6:F7"/>
    <mergeCell ref="B9:C9"/>
    <mergeCell ref="D9:F9"/>
    <mergeCell ref="B2:C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2:V247"/>
  <sheetViews>
    <sheetView tabSelected="1" view="pageBreakPreview" zoomScale="84" zoomScaleNormal="86" zoomScaleSheetLayoutView="84" zoomScalePageLayoutView="0" workbookViewId="0" topLeftCell="A1">
      <selection activeCell="G14" sqref="G14:G15"/>
    </sheetView>
  </sheetViews>
  <sheetFormatPr defaultColWidth="9.140625" defaultRowHeight="15"/>
  <cols>
    <col min="2" max="2" width="9.00390625" style="0" customWidth="1"/>
    <col min="3" max="3" width="16.7109375" style="0" customWidth="1"/>
    <col min="4" max="4" width="16.421875" style="0" customWidth="1"/>
    <col min="5" max="5" width="60.28125" style="0" customWidth="1"/>
    <col min="6" max="6" width="10.28125" style="0" customWidth="1"/>
    <col min="7" max="7" width="15.140625" style="0" customWidth="1"/>
    <col min="8" max="8" width="14.00390625" style="0" customWidth="1"/>
    <col min="9" max="10" width="17.7109375" style="0" customWidth="1"/>
    <col min="11" max="11" width="16.8515625" style="0" customWidth="1"/>
    <col min="12" max="12" width="12.7109375" style="0" customWidth="1"/>
    <col min="13" max="13" width="10.57421875" style="0" bestFit="1" customWidth="1"/>
    <col min="15" max="15" width="14.28125" style="0" customWidth="1"/>
  </cols>
  <sheetData>
    <row r="2" spans="2:12" ht="21" customHeight="1">
      <c r="B2" s="688"/>
      <c r="C2" s="700"/>
      <c r="D2" s="689"/>
      <c r="E2" s="5"/>
      <c r="F2" s="684" t="s">
        <v>40</v>
      </c>
      <c r="G2" s="684"/>
      <c r="H2" s="684"/>
      <c r="I2" s="684"/>
      <c r="J2" s="684"/>
      <c r="K2" s="684"/>
      <c r="L2" s="684"/>
    </row>
    <row r="3" spans="2:12" ht="21" customHeight="1">
      <c r="B3" s="690"/>
      <c r="C3" s="701"/>
      <c r="D3" s="691"/>
      <c r="E3" s="6"/>
      <c r="F3" s="684"/>
      <c r="G3" s="684"/>
      <c r="H3" s="684"/>
      <c r="I3" s="684"/>
      <c r="J3" s="684"/>
      <c r="K3" s="684"/>
      <c r="L3" s="684"/>
    </row>
    <row r="4" spans="2:12" ht="21" customHeight="1">
      <c r="B4" s="690"/>
      <c r="C4" s="701"/>
      <c r="D4" s="691"/>
      <c r="E4" s="6"/>
      <c r="F4" s="685" t="s">
        <v>41</v>
      </c>
      <c r="G4" s="685"/>
      <c r="H4" s="685"/>
      <c r="I4" s="685"/>
      <c r="J4" s="685"/>
      <c r="K4" s="685"/>
      <c r="L4" s="685"/>
    </row>
    <row r="5" spans="2:12" ht="21" customHeight="1">
      <c r="B5" s="690"/>
      <c r="C5" s="701"/>
      <c r="D5" s="691"/>
      <c r="E5" s="6"/>
      <c r="F5" s="685"/>
      <c r="G5" s="685"/>
      <c r="H5" s="685"/>
      <c r="I5" s="685"/>
      <c r="J5" s="685"/>
      <c r="K5" s="685"/>
      <c r="L5" s="685"/>
    </row>
    <row r="6" spans="2:22" ht="21" customHeight="1">
      <c r="B6" s="690"/>
      <c r="C6" s="701"/>
      <c r="D6" s="691"/>
      <c r="E6" s="6"/>
      <c r="F6" s="686" t="s">
        <v>29</v>
      </c>
      <c r="G6" s="686"/>
      <c r="H6" s="686"/>
      <c r="I6" s="686"/>
      <c r="J6" s="686"/>
      <c r="K6" s="686"/>
      <c r="L6" s="686"/>
      <c r="O6" s="324"/>
      <c r="P6" s="325"/>
      <c r="Q6" s="325"/>
      <c r="R6" s="325"/>
      <c r="S6" s="325"/>
      <c r="T6" s="325"/>
      <c r="U6" s="325"/>
      <c r="V6" s="325"/>
    </row>
    <row r="7" spans="2:22" ht="21" customHeight="1">
      <c r="B7" s="692"/>
      <c r="C7" s="702"/>
      <c r="D7" s="693"/>
      <c r="E7" s="7"/>
      <c r="F7" s="686"/>
      <c r="G7" s="686"/>
      <c r="H7" s="686"/>
      <c r="I7" s="686"/>
      <c r="J7" s="686"/>
      <c r="K7" s="686"/>
      <c r="L7" s="686"/>
      <c r="O7" s="324"/>
      <c r="P7" s="325"/>
      <c r="Q7" s="325"/>
      <c r="R7" s="325"/>
      <c r="S7" s="325"/>
      <c r="T7" s="325"/>
      <c r="U7" s="325"/>
      <c r="V7" s="325"/>
    </row>
    <row r="8" spans="2:22" ht="7.5" customHeight="1">
      <c r="B8" s="8"/>
      <c r="C8" s="8"/>
      <c r="D8" s="8"/>
      <c r="E8" s="9"/>
      <c r="F8" s="8"/>
      <c r="G8" s="15"/>
      <c r="H8" s="18"/>
      <c r="I8" s="15"/>
      <c r="J8" s="15"/>
      <c r="K8" s="13"/>
      <c r="L8" s="10"/>
      <c r="O8" s="325"/>
      <c r="P8" s="325"/>
      <c r="Q8" s="325"/>
      <c r="R8" s="325"/>
      <c r="S8" s="325"/>
      <c r="T8" s="325"/>
      <c r="U8" s="325"/>
      <c r="V8" s="325"/>
    </row>
    <row r="9" spans="2:22" ht="30.75" customHeight="1">
      <c r="B9" s="674" t="s">
        <v>755</v>
      </c>
      <c r="C9" s="675"/>
      <c r="D9" s="675"/>
      <c r="E9" s="687"/>
      <c r="F9" s="674" t="s">
        <v>362</v>
      </c>
      <c r="G9" s="675"/>
      <c r="H9" s="675"/>
      <c r="I9" s="675"/>
      <c r="J9" s="675"/>
      <c r="K9" s="675"/>
      <c r="L9" s="687"/>
      <c r="O9" s="324"/>
      <c r="P9" s="325"/>
      <c r="Q9" s="325"/>
      <c r="R9" s="325"/>
      <c r="S9" s="325"/>
      <c r="T9" s="325"/>
      <c r="U9" s="325"/>
      <c r="V9" s="325"/>
    </row>
    <row r="10" spans="2:22" ht="30.75" customHeight="1">
      <c r="B10" s="674" t="s">
        <v>234</v>
      </c>
      <c r="C10" s="675"/>
      <c r="D10" s="675"/>
      <c r="E10" s="675"/>
      <c r="F10" s="676" t="str">
        <f>Resumo!D10</f>
        <v>Data Base: Dezembro de 2015/Com Desoneração</v>
      </c>
      <c r="G10" s="677"/>
      <c r="H10" s="677"/>
      <c r="I10" s="677"/>
      <c r="J10" s="677"/>
      <c r="K10" s="677"/>
      <c r="L10" s="678"/>
      <c r="O10" s="325"/>
      <c r="P10" s="325"/>
      <c r="Q10" s="325"/>
      <c r="R10" s="325"/>
      <c r="S10" s="325"/>
      <c r="T10" s="325"/>
      <c r="U10" s="325"/>
      <c r="V10" s="325"/>
    </row>
    <row r="11" spans="2:12" ht="7.5" customHeight="1" thickBot="1">
      <c r="B11" s="679"/>
      <c r="C11" s="679"/>
      <c r="D11" s="679"/>
      <c r="E11" s="680"/>
      <c r="F11" s="74"/>
      <c r="G11" s="67"/>
      <c r="H11" s="19"/>
      <c r="I11" s="67"/>
      <c r="J11" s="67"/>
      <c r="K11" s="68"/>
      <c r="L11" s="69"/>
    </row>
    <row r="12" spans="2:12" ht="33" customHeight="1" thickBot="1">
      <c r="B12" s="681" t="s">
        <v>230</v>
      </c>
      <c r="C12" s="682"/>
      <c r="D12" s="682"/>
      <c r="E12" s="682"/>
      <c r="F12" s="682"/>
      <c r="G12" s="682"/>
      <c r="H12" s="682"/>
      <c r="I12" s="682"/>
      <c r="J12" s="682"/>
      <c r="K12" s="682"/>
      <c r="L12" s="683"/>
    </row>
    <row r="13" spans="2:12" ht="7.5" customHeight="1" thickBot="1"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</row>
    <row r="14" spans="2:12" ht="28.5" customHeight="1">
      <c r="B14" s="696" t="s">
        <v>1</v>
      </c>
      <c r="C14" s="694" t="s">
        <v>34</v>
      </c>
      <c r="D14" s="694" t="s">
        <v>35</v>
      </c>
      <c r="E14" s="694" t="s">
        <v>2</v>
      </c>
      <c r="F14" s="694" t="s">
        <v>3</v>
      </c>
      <c r="G14" s="698" t="s">
        <v>4</v>
      </c>
      <c r="H14" s="698" t="s">
        <v>13</v>
      </c>
      <c r="I14" s="243" t="s">
        <v>86</v>
      </c>
      <c r="J14" s="698" t="s">
        <v>38</v>
      </c>
      <c r="K14" s="698" t="s">
        <v>39</v>
      </c>
      <c r="L14" s="704" t="s">
        <v>30</v>
      </c>
    </row>
    <row r="15" spans="2:12" ht="19.5" customHeight="1" thickBot="1">
      <c r="B15" s="697"/>
      <c r="C15" s="695"/>
      <c r="D15" s="695"/>
      <c r="E15" s="695"/>
      <c r="F15" s="695"/>
      <c r="G15" s="699"/>
      <c r="H15" s="699"/>
      <c r="I15" s="199">
        <f>BDI!D46</f>
        <v>24.93</v>
      </c>
      <c r="J15" s="699"/>
      <c r="K15" s="699"/>
      <c r="L15" s="705"/>
    </row>
    <row r="16" spans="2:12" ht="7.5" customHeight="1" thickBot="1">
      <c r="B16" s="80"/>
      <c r="C16" s="81"/>
      <c r="D16" s="81"/>
      <c r="E16" s="81"/>
      <c r="F16" s="82"/>
      <c r="G16" s="83"/>
      <c r="H16" s="84"/>
      <c r="I16" s="83"/>
      <c r="J16" s="83"/>
      <c r="K16" s="85"/>
      <c r="L16" s="86"/>
    </row>
    <row r="17" spans="2:12" ht="22.5" customHeight="1" thickBot="1">
      <c r="B17" s="189" t="s">
        <v>5</v>
      </c>
      <c r="C17" s="191"/>
      <c r="D17" s="190"/>
      <c r="E17" s="190" t="s">
        <v>6</v>
      </c>
      <c r="F17" s="192"/>
      <c r="G17" s="193"/>
      <c r="H17" s="193"/>
      <c r="I17" s="193"/>
      <c r="J17" s="194"/>
      <c r="K17" s="195">
        <f>SUM(J19:J20)</f>
        <v>9301.26</v>
      </c>
      <c r="L17" s="196">
        <f>K17/$K$238</f>
        <v>0.0628265737157472</v>
      </c>
    </row>
    <row r="18" spans="2:12" ht="7.5" customHeight="1">
      <c r="B18" s="177"/>
      <c r="C18" s="178"/>
      <c r="D18" s="178"/>
      <c r="E18" s="178"/>
      <c r="F18" s="179"/>
      <c r="G18" s="180"/>
      <c r="H18" s="180"/>
      <c r="I18" s="180"/>
      <c r="J18" s="180"/>
      <c r="K18" s="181"/>
      <c r="L18" s="182"/>
    </row>
    <row r="19" spans="2:12" ht="19.5" customHeight="1">
      <c r="B19" s="87" t="s">
        <v>130</v>
      </c>
      <c r="C19" s="283" t="s">
        <v>36</v>
      </c>
      <c r="D19" s="283" t="s">
        <v>37</v>
      </c>
      <c r="E19" s="492" t="s">
        <v>26</v>
      </c>
      <c r="F19" s="90" t="s">
        <v>33</v>
      </c>
      <c r="G19" s="91">
        <f>VLOOKUP('Pl Orçamentária'!B19,'Memorial de Cálculo'!$B$16:$M$723,12,FALSE)</f>
        <v>4.5</v>
      </c>
      <c r="H19" s="491">
        <v>226.82</v>
      </c>
      <c r="I19" s="91">
        <f>ROUND(H19*($I$15/100+1),2)</f>
        <v>283.37</v>
      </c>
      <c r="J19" s="91">
        <f>ROUND(G19*I19,2)</f>
        <v>1275.17</v>
      </c>
      <c r="K19" s="94"/>
      <c r="L19" s="93"/>
    </row>
    <row r="20" spans="2:12" ht="19.5" customHeight="1">
      <c r="B20" s="87" t="s">
        <v>253</v>
      </c>
      <c r="C20" s="433" t="s">
        <v>36</v>
      </c>
      <c r="D20" s="434" t="s">
        <v>254</v>
      </c>
      <c r="E20" s="493" t="s">
        <v>360</v>
      </c>
      <c r="F20" s="90" t="s">
        <v>33</v>
      </c>
      <c r="G20" s="91">
        <f>VLOOKUP('Pl Orçamentária'!B20,'Memorial de Cálculo'!$B$16:$M$723,12,FALSE)</f>
        <v>2198.93</v>
      </c>
      <c r="H20" s="92">
        <v>2.92</v>
      </c>
      <c r="I20" s="91">
        <f>ROUND(H20*($I$15/100+1),2)</f>
        <v>3.65</v>
      </c>
      <c r="J20" s="91">
        <f>ROUND(G20*I20,2)</f>
        <v>8026.09</v>
      </c>
      <c r="K20" s="94"/>
      <c r="L20" s="93"/>
    </row>
    <row r="21" spans="2:12" ht="7.5" customHeight="1" thickBot="1">
      <c r="B21" s="80"/>
      <c r="C21" s="81"/>
      <c r="D21" s="81"/>
      <c r="E21" s="81"/>
      <c r="F21" s="82"/>
      <c r="G21" s="83"/>
      <c r="H21" s="84"/>
      <c r="I21" s="83"/>
      <c r="J21" s="83"/>
      <c r="K21" s="85"/>
      <c r="L21" s="86"/>
    </row>
    <row r="22" spans="2:12" ht="22.5" customHeight="1" thickBot="1">
      <c r="B22" s="189" t="s">
        <v>71</v>
      </c>
      <c r="C22" s="191"/>
      <c r="D22" s="190"/>
      <c r="E22" s="190" t="s">
        <v>278</v>
      </c>
      <c r="F22" s="192"/>
      <c r="G22" s="193"/>
      <c r="H22" s="193"/>
      <c r="I22" s="193"/>
      <c r="J22" s="194"/>
      <c r="K22" s="195">
        <f>SUM(J24:J32)</f>
        <v>4269.48</v>
      </c>
      <c r="L22" s="196">
        <f>K22/$K$238</f>
        <v>0.02883875947429792</v>
      </c>
    </row>
    <row r="23" spans="2:12" ht="7.5" customHeight="1">
      <c r="B23" s="177"/>
      <c r="C23" s="178"/>
      <c r="D23" s="178"/>
      <c r="E23" s="178"/>
      <c r="F23" s="179"/>
      <c r="G23" s="180"/>
      <c r="H23" s="180"/>
      <c r="I23" s="180"/>
      <c r="J23" s="180"/>
      <c r="K23" s="181"/>
      <c r="L23" s="182"/>
    </row>
    <row r="24" spans="2:12" ht="19.5" customHeight="1">
      <c r="B24" s="87" t="s">
        <v>131</v>
      </c>
      <c r="C24" s="380" t="s">
        <v>36</v>
      </c>
      <c r="D24" s="380">
        <v>85334</v>
      </c>
      <c r="E24" s="482" t="s">
        <v>279</v>
      </c>
      <c r="F24" s="90" t="s">
        <v>33</v>
      </c>
      <c r="G24" s="91">
        <f>VLOOKUP('Pl Orçamentária'!B24,'Memorial de Cálculo'!$B$16:$M$723,12,FALSE)</f>
        <v>5.4</v>
      </c>
      <c r="H24" s="92">
        <v>9.76</v>
      </c>
      <c r="I24" s="108">
        <f aca="true" t="shared" si="0" ref="I24:I31">ROUND(H24*($I$15/100+1),2)</f>
        <v>12.19</v>
      </c>
      <c r="J24" s="108">
        <f aca="true" t="shared" si="1" ref="J24:J31">ROUND(G24*I24,2)</f>
        <v>65.83</v>
      </c>
      <c r="K24" s="94"/>
      <c r="L24" s="93"/>
    </row>
    <row r="25" spans="2:12" ht="19.5" customHeight="1">
      <c r="B25" s="87" t="s">
        <v>132</v>
      </c>
      <c r="C25" s="380" t="s">
        <v>36</v>
      </c>
      <c r="D25" s="380">
        <v>85421</v>
      </c>
      <c r="E25" s="482" t="s">
        <v>280</v>
      </c>
      <c r="F25" s="97" t="s">
        <v>33</v>
      </c>
      <c r="G25" s="91">
        <f>VLOOKUP('Pl Orçamentária'!B25,'Memorial de Cálculo'!$B$16:$M$723,12,FALSE)</f>
        <v>14.200000000000001</v>
      </c>
      <c r="H25" s="92">
        <v>7.56</v>
      </c>
      <c r="I25" s="108">
        <f t="shared" si="0"/>
        <v>9.44</v>
      </c>
      <c r="J25" s="108">
        <f t="shared" si="1"/>
        <v>134.05</v>
      </c>
      <c r="K25" s="94"/>
      <c r="L25" s="93"/>
    </row>
    <row r="26" spans="2:12" ht="19.5" customHeight="1">
      <c r="B26" s="87" t="s">
        <v>259</v>
      </c>
      <c r="C26" s="380" t="s">
        <v>36</v>
      </c>
      <c r="D26" s="380">
        <v>72142</v>
      </c>
      <c r="E26" s="482" t="s">
        <v>283</v>
      </c>
      <c r="F26" s="97" t="s">
        <v>0</v>
      </c>
      <c r="G26" s="91">
        <f>VLOOKUP('Pl Orçamentária'!B26,'Memorial de Cálculo'!$B$16:$M$723,12,FALSE)</f>
        <v>28</v>
      </c>
      <c r="H26" s="92">
        <v>6.19</v>
      </c>
      <c r="I26" s="108">
        <f t="shared" si="0"/>
        <v>7.73</v>
      </c>
      <c r="J26" s="108">
        <f t="shared" si="1"/>
        <v>216.44</v>
      </c>
      <c r="K26" s="94"/>
      <c r="L26" s="93"/>
    </row>
    <row r="27" spans="2:12" ht="19.5" customHeight="1">
      <c r="B27" s="87" t="s">
        <v>505</v>
      </c>
      <c r="C27" s="380" t="s">
        <v>36</v>
      </c>
      <c r="D27" s="380">
        <v>72143</v>
      </c>
      <c r="E27" s="482" t="s">
        <v>284</v>
      </c>
      <c r="F27" s="97" t="s">
        <v>0</v>
      </c>
      <c r="G27" s="91">
        <f>VLOOKUP('Pl Orçamentária'!B27,'Memorial de Cálculo'!$B$16:$M$723,12,FALSE)</f>
        <v>28</v>
      </c>
      <c r="H27" s="92">
        <v>29.92</v>
      </c>
      <c r="I27" s="108">
        <f t="shared" si="0"/>
        <v>37.38</v>
      </c>
      <c r="J27" s="108">
        <f t="shared" si="1"/>
        <v>1046.64</v>
      </c>
      <c r="K27" s="94"/>
      <c r="L27" s="93"/>
    </row>
    <row r="28" spans="2:12" ht="19.5" customHeight="1">
      <c r="B28" s="87" t="s">
        <v>260</v>
      </c>
      <c r="C28" s="380" t="s">
        <v>112</v>
      </c>
      <c r="D28" s="380"/>
      <c r="E28" s="482" t="s">
        <v>316</v>
      </c>
      <c r="F28" s="90" t="s">
        <v>33</v>
      </c>
      <c r="G28" s="91">
        <f>VLOOKUP('Pl Orçamentária'!B28,'Memorial de Cálculo'!$B$16:$M$723,12,FALSE)</f>
        <v>2.84</v>
      </c>
      <c r="H28" s="92">
        <f>'Composições de Custo'!I21</f>
        <v>7.71</v>
      </c>
      <c r="I28" s="108">
        <f t="shared" si="0"/>
        <v>9.63</v>
      </c>
      <c r="J28" s="108">
        <f t="shared" si="1"/>
        <v>27.35</v>
      </c>
      <c r="K28" s="94"/>
      <c r="L28" s="93"/>
    </row>
    <row r="29" spans="2:12" ht="30">
      <c r="B29" s="87" t="s">
        <v>281</v>
      </c>
      <c r="C29" s="380" t="s">
        <v>36</v>
      </c>
      <c r="D29" s="380" t="s">
        <v>320</v>
      </c>
      <c r="E29" s="481" t="s">
        <v>321</v>
      </c>
      <c r="F29" s="97" t="s">
        <v>54</v>
      </c>
      <c r="G29" s="91">
        <f>VLOOKUP('Pl Orçamentária'!B29,'Memorial de Cálculo'!$B$16:$M$723,12,FALSE)</f>
        <v>0.09</v>
      </c>
      <c r="H29" s="92">
        <v>55.1</v>
      </c>
      <c r="I29" s="108">
        <f t="shared" si="0"/>
        <v>68.84</v>
      </c>
      <c r="J29" s="108">
        <f t="shared" si="1"/>
        <v>6.2</v>
      </c>
      <c r="K29" s="94"/>
      <c r="L29" s="93"/>
    </row>
    <row r="30" spans="2:12" ht="19.5" customHeight="1">
      <c r="B30" s="87" t="s">
        <v>285</v>
      </c>
      <c r="C30" s="380" t="s">
        <v>44</v>
      </c>
      <c r="D30" s="480" t="s">
        <v>322</v>
      </c>
      <c r="E30" s="482" t="s">
        <v>288</v>
      </c>
      <c r="F30" s="97" t="s">
        <v>33</v>
      </c>
      <c r="G30" s="108">
        <f>VLOOKUP('Pl Orçamentária'!B30,'Memorial de Cálculo'!$B$16:$M$723,12,FALSE)</f>
        <v>420.21</v>
      </c>
      <c r="H30" s="104">
        <v>4.63</v>
      </c>
      <c r="I30" s="108">
        <f>ROUND(H30*($I$15/100+1),2)</f>
        <v>5.78</v>
      </c>
      <c r="J30" s="108">
        <f>ROUND(G30*I30,2)</f>
        <v>2428.81</v>
      </c>
      <c r="K30" s="106"/>
      <c r="L30" s="107"/>
    </row>
    <row r="31" spans="2:12" ht="19.5" customHeight="1">
      <c r="B31" s="87" t="s">
        <v>286</v>
      </c>
      <c r="C31" s="283" t="s">
        <v>36</v>
      </c>
      <c r="D31" s="380">
        <v>72897</v>
      </c>
      <c r="E31" s="381" t="s">
        <v>249</v>
      </c>
      <c r="F31" s="97" t="s">
        <v>54</v>
      </c>
      <c r="G31" s="91">
        <f>VLOOKUP('Pl Orçamentária'!B31,'Memorial de Cálculo'!$B$16:$M$723,12,FALSE)</f>
        <v>12.6528</v>
      </c>
      <c r="H31" s="382">
        <v>15.77</v>
      </c>
      <c r="I31" s="108">
        <f t="shared" si="0"/>
        <v>19.7</v>
      </c>
      <c r="J31" s="108">
        <f t="shared" si="1"/>
        <v>249.26</v>
      </c>
      <c r="K31" s="106"/>
      <c r="L31" s="107"/>
    </row>
    <row r="32" spans="2:12" ht="32.25" customHeight="1">
      <c r="B32" s="87" t="s">
        <v>506</v>
      </c>
      <c r="C32" s="283" t="s">
        <v>36</v>
      </c>
      <c r="D32" s="380">
        <v>72881</v>
      </c>
      <c r="E32" s="381" t="s">
        <v>250</v>
      </c>
      <c r="F32" s="97" t="s">
        <v>251</v>
      </c>
      <c r="G32" s="91">
        <f>VLOOKUP('Pl Orçamentária'!B32,'Memorial de Cálculo'!$B$16:$M$723,12,FALSE)</f>
        <v>63.263999999999996</v>
      </c>
      <c r="H32" s="382">
        <v>1.2</v>
      </c>
      <c r="I32" s="108">
        <f>ROUND(H32*($I$15/100+1),2)</f>
        <v>1.5</v>
      </c>
      <c r="J32" s="108">
        <f>ROUND(G32*I32,2)</f>
        <v>94.9</v>
      </c>
      <c r="K32" s="106"/>
      <c r="L32" s="107"/>
    </row>
    <row r="33" spans="2:12" ht="7.5" customHeight="1" thickBot="1">
      <c r="B33" s="187"/>
      <c r="C33" s="188"/>
      <c r="D33" s="272"/>
      <c r="E33" s="277"/>
      <c r="F33" s="179"/>
      <c r="G33" s="180"/>
      <c r="H33" s="180"/>
      <c r="I33" s="180"/>
      <c r="J33" s="180"/>
      <c r="K33" s="181"/>
      <c r="L33" s="182"/>
    </row>
    <row r="34" spans="2:12" ht="22.5" customHeight="1" thickBot="1">
      <c r="B34" s="189" t="s">
        <v>507</v>
      </c>
      <c r="C34" s="191"/>
      <c r="D34" s="198"/>
      <c r="E34" s="241" t="s">
        <v>247</v>
      </c>
      <c r="F34" s="192"/>
      <c r="G34" s="193"/>
      <c r="H34" s="193"/>
      <c r="I34" s="193"/>
      <c r="J34" s="194"/>
      <c r="K34" s="195">
        <f>SUM(J36:J37)</f>
        <v>16947.38</v>
      </c>
      <c r="L34" s="196">
        <f>K34/$K$238</f>
        <v>0.1144732884425099</v>
      </c>
    </row>
    <row r="35" spans="2:12" ht="7.5" customHeight="1">
      <c r="B35" s="177"/>
      <c r="C35" s="178"/>
      <c r="D35" s="185"/>
      <c r="E35" s="186"/>
      <c r="F35" s="179"/>
      <c r="G35" s="180"/>
      <c r="H35" s="180"/>
      <c r="I35" s="180"/>
      <c r="J35" s="180"/>
      <c r="K35" s="181"/>
      <c r="L35" s="182"/>
    </row>
    <row r="36" spans="2:12" ht="41.25" customHeight="1">
      <c r="B36" s="122" t="s">
        <v>508</v>
      </c>
      <c r="C36" s="380" t="s">
        <v>36</v>
      </c>
      <c r="D36" s="480">
        <v>84040</v>
      </c>
      <c r="E36" s="381" t="s">
        <v>762</v>
      </c>
      <c r="F36" s="97" t="s">
        <v>33</v>
      </c>
      <c r="G36" s="91">
        <f>VLOOKUP('Pl Orçamentária'!B36,'Memorial de Cálculo'!$B$16:$M$723,12,FALSE)</f>
        <v>420.21</v>
      </c>
      <c r="H36" s="382">
        <v>28.21</v>
      </c>
      <c r="I36" s="108">
        <f>ROUND(H36*($I$15/100+1),2)</f>
        <v>35.24</v>
      </c>
      <c r="J36" s="108">
        <f>ROUND(G36*I36,2)</f>
        <v>14808.2</v>
      </c>
      <c r="K36" s="106"/>
      <c r="L36" s="107"/>
    </row>
    <row r="37" spans="2:12" ht="15.75">
      <c r="B37" s="122" t="s">
        <v>509</v>
      </c>
      <c r="C37" s="380" t="s">
        <v>36</v>
      </c>
      <c r="D37" s="122">
        <v>75220</v>
      </c>
      <c r="E37" s="669" t="s">
        <v>763</v>
      </c>
      <c r="F37" s="97" t="s">
        <v>28</v>
      </c>
      <c r="G37" s="91">
        <f>VLOOKUP('Pl Orçamentária'!B37,'Memorial de Cálculo'!$B$16:$M$723,12,FALSE)</f>
        <v>35.57</v>
      </c>
      <c r="H37" s="382">
        <v>48.14</v>
      </c>
      <c r="I37" s="108">
        <f>ROUND(H37*($I$15/100+1),2)</f>
        <v>60.14</v>
      </c>
      <c r="J37" s="108">
        <f>ROUND(G37*I37,2)</f>
        <v>2139.18</v>
      </c>
      <c r="K37" s="106"/>
      <c r="L37" s="107"/>
    </row>
    <row r="38" spans="2:12" ht="7.5" customHeight="1" thickBot="1">
      <c r="B38" s="187"/>
      <c r="C38" s="188"/>
      <c r="D38" s="272"/>
      <c r="E38" s="277"/>
      <c r="F38" s="179"/>
      <c r="G38" s="180"/>
      <c r="H38" s="180"/>
      <c r="I38" s="180"/>
      <c r="J38" s="180"/>
      <c r="K38" s="181"/>
      <c r="L38" s="182"/>
    </row>
    <row r="39" spans="2:12" ht="22.5" customHeight="1" thickBot="1">
      <c r="B39" s="189" t="s">
        <v>510</v>
      </c>
      <c r="C39" s="191"/>
      <c r="D39" s="198"/>
      <c r="E39" s="241" t="s">
        <v>9</v>
      </c>
      <c r="F39" s="192"/>
      <c r="G39" s="193"/>
      <c r="H39" s="193"/>
      <c r="I39" s="193"/>
      <c r="J39" s="194"/>
      <c r="K39" s="195">
        <f>SUM(J43:J60)</f>
        <v>23176.63</v>
      </c>
      <c r="L39" s="196">
        <f>K39/$K$238</f>
        <v>0.1565495699698318</v>
      </c>
    </row>
    <row r="40" spans="2:12" ht="7.5" customHeight="1">
      <c r="B40" s="177"/>
      <c r="C40" s="178"/>
      <c r="D40" s="185"/>
      <c r="E40" s="186"/>
      <c r="F40" s="179"/>
      <c r="G40" s="180"/>
      <c r="H40" s="180"/>
      <c r="I40" s="180"/>
      <c r="J40" s="180"/>
      <c r="K40" s="181"/>
      <c r="L40" s="182"/>
    </row>
    <row r="41" spans="2:12" ht="19.5" customHeight="1">
      <c r="B41" s="232" t="s">
        <v>511</v>
      </c>
      <c r="C41" s="230" t="s">
        <v>134</v>
      </c>
      <c r="D41" s="273"/>
      <c r="E41" s="231" t="s">
        <v>237</v>
      </c>
      <c r="F41" s="231"/>
      <c r="G41" s="231"/>
      <c r="H41" s="231"/>
      <c r="I41" s="231"/>
      <c r="J41" s="231"/>
      <c r="K41" s="239"/>
      <c r="L41" s="240"/>
    </row>
    <row r="42" spans="2:12" ht="7.5" customHeight="1">
      <c r="B42" s="177"/>
      <c r="C42" s="178"/>
      <c r="D42" s="185"/>
      <c r="E42" s="186"/>
      <c r="F42" s="179"/>
      <c r="G42" s="180"/>
      <c r="H42" s="180"/>
      <c r="I42" s="180"/>
      <c r="J42" s="180"/>
      <c r="K42" s="181"/>
      <c r="L42" s="182"/>
    </row>
    <row r="43" spans="2:12" ht="30">
      <c r="B43" s="98" t="s">
        <v>512</v>
      </c>
      <c r="C43" s="217" t="s">
        <v>36</v>
      </c>
      <c r="D43" s="122">
        <v>90847</v>
      </c>
      <c r="E43" s="115" t="s">
        <v>265</v>
      </c>
      <c r="F43" s="97" t="s">
        <v>55</v>
      </c>
      <c r="G43" s="108">
        <f>VLOOKUP('Pl Orçamentária'!B43,'Memorial de Cálculo'!$B$16:$M$723,12,FALSE)</f>
        <v>2</v>
      </c>
      <c r="H43" s="516">
        <v>341.91</v>
      </c>
      <c r="I43" s="108">
        <f aca="true" t="shared" si="2" ref="I43:I48">ROUND(H43*($I$15/100+1),2)</f>
        <v>427.15</v>
      </c>
      <c r="J43" s="108">
        <f aca="true" t="shared" si="3" ref="J43:J48">ROUND(G43*I43,2)</f>
        <v>854.3</v>
      </c>
      <c r="K43" s="106"/>
      <c r="L43" s="107"/>
    </row>
    <row r="44" spans="2:12" ht="30">
      <c r="B44" s="98" t="s">
        <v>513</v>
      </c>
      <c r="C44" s="217" t="s">
        <v>36</v>
      </c>
      <c r="D44" s="122">
        <v>90849</v>
      </c>
      <c r="E44" s="115" t="s">
        <v>323</v>
      </c>
      <c r="F44" s="97" t="s">
        <v>55</v>
      </c>
      <c r="G44" s="108">
        <f>VLOOKUP('Pl Orçamentária'!B44,'Memorial de Cálculo'!$B$16:$M$723,12,FALSE)</f>
        <v>25</v>
      </c>
      <c r="H44" s="516">
        <v>370.32</v>
      </c>
      <c r="I44" s="108">
        <f t="shared" si="2"/>
        <v>462.64</v>
      </c>
      <c r="J44" s="108">
        <f t="shared" si="3"/>
        <v>11566</v>
      </c>
      <c r="K44" s="106"/>
      <c r="L44" s="107"/>
    </row>
    <row r="45" spans="2:12" ht="30">
      <c r="B45" s="98" t="s">
        <v>514</v>
      </c>
      <c r="C45" s="109" t="s">
        <v>112</v>
      </c>
      <c r="D45" s="218"/>
      <c r="E45" s="115" t="s">
        <v>393</v>
      </c>
      <c r="F45" s="97" t="s">
        <v>55</v>
      </c>
      <c r="G45" s="108">
        <f>VLOOKUP('Pl Orçamentária'!B45,'Memorial de Cálculo'!$B$16:$M$723,12,FALSE)</f>
        <v>1</v>
      </c>
      <c r="H45" s="571">
        <f>'Composições de Custo'!I61</f>
        <v>603.35</v>
      </c>
      <c r="I45" s="108">
        <f t="shared" si="2"/>
        <v>753.77</v>
      </c>
      <c r="J45" s="108">
        <f t="shared" si="3"/>
        <v>753.77</v>
      </c>
      <c r="K45" s="106"/>
      <c r="L45" s="107"/>
    </row>
    <row r="46" spans="2:12" ht="30">
      <c r="B46" s="98" t="s">
        <v>515</v>
      </c>
      <c r="C46" s="109" t="s">
        <v>112</v>
      </c>
      <c r="D46" s="572"/>
      <c r="E46" s="267" t="s">
        <v>394</v>
      </c>
      <c r="F46" s="90" t="s">
        <v>55</v>
      </c>
      <c r="G46" s="108">
        <f>VLOOKUP('Pl Orçamentária'!B46,'Memorial de Cálculo'!$B$16:$M$723,12,FALSE)</f>
        <v>1</v>
      </c>
      <c r="H46" s="571">
        <f>'Composições de Custo'!I95</f>
        <v>622.9699999999999</v>
      </c>
      <c r="I46" s="108">
        <f t="shared" si="2"/>
        <v>778.28</v>
      </c>
      <c r="J46" s="108">
        <f t="shared" si="3"/>
        <v>778.28</v>
      </c>
      <c r="K46" s="106"/>
      <c r="L46" s="107"/>
    </row>
    <row r="47" spans="2:12" ht="30">
      <c r="B47" s="98" t="s">
        <v>516</v>
      </c>
      <c r="C47" s="573" t="s">
        <v>112</v>
      </c>
      <c r="D47" s="572"/>
      <c r="E47" s="267" t="s">
        <v>395</v>
      </c>
      <c r="F47" s="90" t="s">
        <v>55</v>
      </c>
      <c r="G47" s="108">
        <f>VLOOKUP('Pl Orçamentária'!B47,'Memorial de Cálculo'!$B$16:$M$723,12,FALSE)</f>
        <v>1</v>
      </c>
      <c r="H47" s="571">
        <f>'Composições de Custo'!I115</f>
        <v>790.0999999999999</v>
      </c>
      <c r="I47" s="108">
        <f t="shared" si="2"/>
        <v>987.07</v>
      </c>
      <c r="J47" s="108">
        <f t="shared" si="3"/>
        <v>987.07</v>
      </c>
      <c r="K47" s="106"/>
      <c r="L47" s="107"/>
    </row>
    <row r="48" spans="2:12" ht="19.5" customHeight="1">
      <c r="B48" s="98" t="s">
        <v>517</v>
      </c>
      <c r="C48" s="109" t="s">
        <v>36</v>
      </c>
      <c r="D48" s="218">
        <v>91306</v>
      </c>
      <c r="E48" s="219" t="s">
        <v>149</v>
      </c>
      <c r="F48" s="220" t="s">
        <v>55</v>
      </c>
      <c r="G48" s="91">
        <f>VLOOKUP('Pl Orçamentária'!B48,'Memorial de Cálculo'!$B$16:$M$723,12,FALSE)</f>
        <v>27</v>
      </c>
      <c r="H48" s="517">
        <v>75</v>
      </c>
      <c r="I48" s="123">
        <f t="shared" si="2"/>
        <v>93.7</v>
      </c>
      <c r="J48" s="123">
        <f t="shared" si="3"/>
        <v>2529.9</v>
      </c>
      <c r="K48" s="106"/>
      <c r="L48" s="107"/>
    </row>
    <row r="49" spans="2:12" ht="7.5" customHeight="1">
      <c r="B49" s="177"/>
      <c r="C49" s="178"/>
      <c r="D49" s="185"/>
      <c r="E49" s="186"/>
      <c r="F49" s="179"/>
      <c r="G49" s="180"/>
      <c r="H49" s="180"/>
      <c r="I49" s="180"/>
      <c r="J49" s="180"/>
      <c r="K49" s="181"/>
      <c r="L49" s="182"/>
    </row>
    <row r="50" spans="2:12" ht="19.5" customHeight="1">
      <c r="B50" s="232" t="s">
        <v>518</v>
      </c>
      <c r="C50" s="230" t="s">
        <v>134</v>
      </c>
      <c r="D50" s="273"/>
      <c r="E50" s="231" t="s">
        <v>238</v>
      </c>
      <c r="F50" s="231"/>
      <c r="G50" s="231"/>
      <c r="H50" s="231"/>
      <c r="I50" s="231"/>
      <c r="J50" s="231"/>
      <c r="K50" s="239"/>
      <c r="L50" s="240"/>
    </row>
    <row r="51" spans="2:12" ht="7.5" customHeight="1">
      <c r="B51" s="177"/>
      <c r="C51" s="178"/>
      <c r="D51" s="185"/>
      <c r="E51" s="186"/>
      <c r="F51" s="179"/>
      <c r="G51" s="180"/>
      <c r="H51" s="180"/>
      <c r="I51" s="180"/>
      <c r="J51" s="180"/>
      <c r="K51" s="181"/>
      <c r="L51" s="182"/>
    </row>
    <row r="52" spans="2:12" ht="19.5" customHeight="1">
      <c r="B52" s="98" t="s">
        <v>519</v>
      </c>
      <c r="C52" s="97" t="s">
        <v>44</v>
      </c>
      <c r="D52" s="122" t="s">
        <v>239</v>
      </c>
      <c r="E52" s="115" t="s">
        <v>324</v>
      </c>
      <c r="F52" s="97" t="s">
        <v>33</v>
      </c>
      <c r="G52" s="108">
        <f>VLOOKUP('Pl Orçamentária'!B52,'Memorial de Cálculo'!$B$16:$M$723,12,FALSE)</f>
        <v>0.6</v>
      </c>
      <c r="H52" s="108">
        <v>439.45</v>
      </c>
      <c r="I52" s="108">
        <f>ROUND(H52*($I$15/100+1),2)</f>
        <v>549</v>
      </c>
      <c r="J52" s="108">
        <f>ROUND(G52*I52,2)</f>
        <v>329.4</v>
      </c>
      <c r="K52" s="106"/>
      <c r="L52" s="107"/>
    </row>
    <row r="53" spans="2:12" ht="19.5" customHeight="1">
      <c r="B53" s="98" t="s">
        <v>520</v>
      </c>
      <c r="C53" s="97" t="s">
        <v>44</v>
      </c>
      <c r="D53" s="122" t="s">
        <v>668</v>
      </c>
      <c r="E53" s="115" t="s">
        <v>669</v>
      </c>
      <c r="F53" s="97" t="s">
        <v>33</v>
      </c>
      <c r="G53" s="108">
        <f>VLOOKUP('Pl Orçamentária'!B53,'Memorial de Cálculo'!$B$16:$M$723,12,FALSE)</f>
        <v>0.8</v>
      </c>
      <c r="H53" s="108">
        <v>254.04</v>
      </c>
      <c r="I53" s="108">
        <f>ROUND(H53*($I$15/100+1),2)</f>
        <v>317.37</v>
      </c>
      <c r="J53" s="108">
        <f>ROUND(G53*I53,2)</f>
        <v>253.9</v>
      </c>
      <c r="K53" s="106"/>
      <c r="L53" s="107"/>
    </row>
    <row r="54" spans="2:12" ht="15.75">
      <c r="B54" s="98" t="s">
        <v>521</v>
      </c>
      <c r="C54" s="97" t="s">
        <v>36</v>
      </c>
      <c r="D54" s="122" t="s">
        <v>397</v>
      </c>
      <c r="E54" s="115" t="s">
        <v>398</v>
      </c>
      <c r="F54" s="97" t="s">
        <v>33</v>
      </c>
      <c r="G54" s="108">
        <f>VLOOKUP('Pl Orçamentária'!B54,'Memorial de Cálculo'!$B$16:$M$723,12,FALSE)</f>
        <v>6.300000000000001</v>
      </c>
      <c r="H54" s="108">
        <v>340.4</v>
      </c>
      <c r="I54" s="108">
        <f>ROUND(H54*($I$15/100+1),2)</f>
        <v>425.26</v>
      </c>
      <c r="J54" s="108">
        <f>ROUND(G54*I54,2)</f>
        <v>2679.14</v>
      </c>
      <c r="K54" s="106"/>
      <c r="L54" s="107"/>
    </row>
    <row r="55" spans="2:12" ht="7.5" customHeight="1">
      <c r="B55" s="177"/>
      <c r="C55" s="178"/>
      <c r="D55" s="185"/>
      <c r="E55" s="186"/>
      <c r="F55" s="179"/>
      <c r="G55" s="180"/>
      <c r="H55" s="180"/>
      <c r="I55" s="180"/>
      <c r="J55" s="180"/>
      <c r="K55" s="181"/>
      <c r="L55" s="182"/>
    </row>
    <row r="56" spans="2:12" ht="19.5" customHeight="1">
      <c r="B56" s="232" t="s">
        <v>522</v>
      </c>
      <c r="C56" s="230" t="s">
        <v>134</v>
      </c>
      <c r="D56" s="273"/>
      <c r="E56" s="231" t="s">
        <v>144</v>
      </c>
      <c r="F56" s="231"/>
      <c r="G56" s="231"/>
      <c r="H56" s="231"/>
      <c r="I56" s="231"/>
      <c r="J56" s="231"/>
      <c r="K56" s="239"/>
      <c r="L56" s="240"/>
    </row>
    <row r="57" spans="2:12" ht="7.5" customHeight="1">
      <c r="B57" s="177"/>
      <c r="C57" s="178"/>
      <c r="D57" s="185"/>
      <c r="E57" s="186"/>
      <c r="F57" s="179"/>
      <c r="G57" s="180"/>
      <c r="H57" s="180"/>
      <c r="I57" s="180"/>
      <c r="J57" s="180"/>
      <c r="K57" s="181"/>
      <c r="L57" s="182"/>
    </row>
    <row r="58" spans="2:12" ht="15.75">
      <c r="B58" s="98" t="s">
        <v>523</v>
      </c>
      <c r="C58" s="110" t="s">
        <v>36</v>
      </c>
      <c r="D58" s="110">
        <v>72117</v>
      </c>
      <c r="E58" s="451" t="s">
        <v>764</v>
      </c>
      <c r="F58" s="97" t="s">
        <v>33</v>
      </c>
      <c r="G58" s="91">
        <f>VLOOKUP('Pl Orçamentária'!B58,'Memorial de Cálculo'!$B$16:$M$723,12,FALSE)</f>
        <v>15.600000000000001</v>
      </c>
      <c r="H58" s="452">
        <v>104.92</v>
      </c>
      <c r="I58" s="108">
        <f>ROUND(H58*($I$15/100+1),2)</f>
        <v>131.08</v>
      </c>
      <c r="J58" s="108">
        <f>ROUND(G58*I58,2)</f>
        <v>2044.85</v>
      </c>
      <c r="K58" s="106"/>
      <c r="L58" s="107"/>
    </row>
    <row r="59" spans="2:12" ht="18" customHeight="1">
      <c r="B59" s="98" t="s">
        <v>524</v>
      </c>
      <c r="C59" s="110" t="s">
        <v>44</v>
      </c>
      <c r="D59" s="580" t="s">
        <v>404</v>
      </c>
      <c r="E59" s="581" t="s">
        <v>405</v>
      </c>
      <c r="F59" s="97" t="s">
        <v>33</v>
      </c>
      <c r="G59" s="91">
        <f>VLOOKUP('Pl Orçamentária'!B59,'Memorial de Cálculo'!$B$16:$M$723,12,FALSE)</f>
        <v>1.1</v>
      </c>
      <c r="H59" s="582">
        <v>230</v>
      </c>
      <c r="I59" s="108">
        <f>ROUND(H59*($I$15/100+1),2)</f>
        <v>287.34</v>
      </c>
      <c r="J59" s="108">
        <f>ROUND(G59*I59,2)</f>
        <v>316.07</v>
      </c>
      <c r="K59" s="106"/>
      <c r="L59" s="107"/>
    </row>
    <row r="60" spans="2:12" ht="18" customHeight="1">
      <c r="B60" s="98" t="s">
        <v>525</v>
      </c>
      <c r="C60" s="110" t="s">
        <v>44</v>
      </c>
      <c r="D60" s="580" t="s">
        <v>406</v>
      </c>
      <c r="E60" s="581" t="s">
        <v>407</v>
      </c>
      <c r="F60" s="97" t="s">
        <v>33</v>
      </c>
      <c r="G60" s="91">
        <f>VLOOKUP('Pl Orçamentária'!B60,'Memorial de Cálculo'!$B$16:$M$723,12,FALSE)</f>
        <v>0.32000000000000006</v>
      </c>
      <c r="H60" s="452">
        <v>210</v>
      </c>
      <c r="I60" s="108">
        <f>ROUND(H60*($I$15/100+1),2)</f>
        <v>262.35</v>
      </c>
      <c r="J60" s="108">
        <f>ROUND(G60*I60,2)</f>
        <v>83.95</v>
      </c>
      <c r="K60" s="106"/>
      <c r="L60" s="107"/>
    </row>
    <row r="61" spans="2:12" ht="7.5" customHeight="1" thickBot="1">
      <c r="B61" s="187"/>
      <c r="C61" s="188"/>
      <c r="D61" s="272"/>
      <c r="E61" s="277"/>
      <c r="F61" s="179"/>
      <c r="G61" s="180"/>
      <c r="H61" s="180"/>
      <c r="I61" s="180"/>
      <c r="J61" s="180"/>
      <c r="K61" s="181"/>
      <c r="L61" s="182"/>
    </row>
    <row r="62" spans="2:12" ht="22.5" customHeight="1" thickBot="1">
      <c r="B62" s="189" t="s">
        <v>119</v>
      </c>
      <c r="C62" s="191"/>
      <c r="D62" s="198"/>
      <c r="E62" s="241" t="s">
        <v>359</v>
      </c>
      <c r="F62" s="192"/>
      <c r="G62" s="193"/>
      <c r="H62" s="193"/>
      <c r="I62" s="193"/>
      <c r="J62" s="194"/>
      <c r="K62" s="195">
        <f>SUM(J66:J89)</f>
        <v>14596.11</v>
      </c>
      <c r="L62" s="196">
        <f>K62/$K$238</f>
        <v>0.0985913285810906</v>
      </c>
    </row>
    <row r="63" spans="2:12" ht="7.5" customHeight="1">
      <c r="B63" s="177"/>
      <c r="C63" s="178"/>
      <c r="D63" s="185"/>
      <c r="E63" s="186"/>
      <c r="F63" s="179"/>
      <c r="G63" s="180"/>
      <c r="H63" s="180"/>
      <c r="I63" s="180"/>
      <c r="J63" s="180"/>
      <c r="K63" s="181"/>
      <c r="L63" s="182"/>
    </row>
    <row r="64" spans="2:12" ht="19.5" customHeight="1">
      <c r="B64" s="232" t="s">
        <v>129</v>
      </c>
      <c r="C64" s="230" t="s">
        <v>134</v>
      </c>
      <c r="D64" s="273"/>
      <c r="E64" s="231" t="s">
        <v>135</v>
      </c>
      <c r="F64" s="231"/>
      <c r="G64" s="231"/>
      <c r="H64" s="231"/>
      <c r="I64" s="231"/>
      <c r="J64" s="231"/>
      <c r="K64" s="239"/>
      <c r="L64" s="240"/>
    </row>
    <row r="65" spans="2:12" ht="7.5" customHeight="1">
      <c r="B65" s="177"/>
      <c r="C65" s="178"/>
      <c r="D65" s="185"/>
      <c r="E65" s="186"/>
      <c r="F65" s="179"/>
      <c r="G65" s="180"/>
      <c r="H65" s="180"/>
      <c r="I65" s="180"/>
      <c r="J65" s="180"/>
      <c r="K65" s="181"/>
      <c r="L65" s="182"/>
    </row>
    <row r="66" spans="2:12" ht="30">
      <c r="B66" s="90" t="s">
        <v>526</v>
      </c>
      <c r="C66" s="99" t="s">
        <v>44</v>
      </c>
      <c r="D66" s="150" t="s">
        <v>69</v>
      </c>
      <c r="E66" s="228" t="s">
        <v>68</v>
      </c>
      <c r="F66" s="98" t="s">
        <v>32</v>
      </c>
      <c r="G66" s="108">
        <f>VLOOKUP('Pl Orçamentária'!B66,'Memorial de Cálculo'!$B$16:$M$723,12,FALSE)</f>
        <v>2</v>
      </c>
      <c r="H66" s="105">
        <v>36.24</v>
      </c>
      <c r="I66" s="108">
        <f>ROUND(H66*($I$15/100+1),2)</f>
        <v>45.27</v>
      </c>
      <c r="J66" s="108">
        <f>ROUND(G66*I66,2)</f>
        <v>90.54</v>
      </c>
      <c r="K66" s="281"/>
      <c r="L66" s="107"/>
    </row>
    <row r="67" spans="2:12" ht="38.25" customHeight="1">
      <c r="B67" s="90" t="s">
        <v>527</v>
      </c>
      <c r="C67" s="99" t="s">
        <v>44</v>
      </c>
      <c r="D67" s="150" t="s">
        <v>70</v>
      </c>
      <c r="E67" s="228" t="s">
        <v>114</v>
      </c>
      <c r="F67" s="98" t="s">
        <v>32</v>
      </c>
      <c r="G67" s="108">
        <f>VLOOKUP('Pl Orçamentária'!B67,'Memorial de Cálculo'!$B$16:$M$723,12,FALSE)</f>
        <v>3</v>
      </c>
      <c r="H67" s="105">
        <v>61.34</v>
      </c>
      <c r="I67" s="123">
        <f>ROUND(H67*($I$15/100+1),2)</f>
        <v>76.63</v>
      </c>
      <c r="J67" s="123">
        <f>ROUND(G67*I67,2)</f>
        <v>229.89</v>
      </c>
      <c r="K67" s="281"/>
      <c r="L67" s="107"/>
    </row>
    <row r="68" spans="2:12" ht="45" customHeight="1">
      <c r="B68" s="90" t="s">
        <v>528</v>
      </c>
      <c r="C68" s="101" t="s">
        <v>36</v>
      </c>
      <c r="D68" s="101">
        <v>89709</v>
      </c>
      <c r="E68" s="227" t="s">
        <v>244</v>
      </c>
      <c r="F68" s="102" t="s">
        <v>0</v>
      </c>
      <c r="G68" s="91">
        <f>VLOOKUP('Pl Orçamentária'!B68,'Memorial de Cálculo'!$B$16:$M$723,12,FALSE)</f>
        <v>1</v>
      </c>
      <c r="H68" s="103">
        <v>6.99</v>
      </c>
      <c r="I68" s="89">
        <f>ROUND(H68*($I$15/100+1),2)</f>
        <v>8.73</v>
      </c>
      <c r="J68" s="89">
        <f>ROUND(G68*I68,2)</f>
        <v>8.73</v>
      </c>
      <c r="K68" s="100"/>
      <c r="L68" s="93"/>
    </row>
    <row r="69" spans="2:12" ht="30">
      <c r="B69" s="90" t="s">
        <v>529</v>
      </c>
      <c r="C69" s="670" t="s">
        <v>36</v>
      </c>
      <c r="D69" s="99">
        <v>86881</v>
      </c>
      <c r="E69" s="228" t="s">
        <v>331</v>
      </c>
      <c r="F69" s="98" t="s">
        <v>0</v>
      </c>
      <c r="G69" s="108">
        <f>VLOOKUP('Pl Orçamentária'!B69,'Memorial de Cálculo'!$B$16:$M$723,12,FALSE)</f>
        <v>18</v>
      </c>
      <c r="H69" s="105">
        <v>103.06</v>
      </c>
      <c r="I69" s="123">
        <f>ROUND(H69*($I$15/100+1),2)</f>
        <v>128.75</v>
      </c>
      <c r="J69" s="123">
        <f>ROUND(G69*I69,2)</f>
        <v>2317.5</v>
      </c>
      <c r="K69" s="106"/>
      <c r="L69" s="107"/>
    </row>
    <row r="70" spans="2:12" ht="7.5" customHeight="1">
      <c r="B70" s="177"/>
      <c r="C70" s="178"/>
      <c r="D70" s="185"/>
      <c r="E70" s="186"/>
      <c r="F70" s="179"/>
      <c r="G70" s="180"/>
      <c r="H70" s="180"/>
      <c r="I70" s="180"/>
      <c r="J70" s="180"/>
      <c r="K70" s="181"/>
      <c r="L70" s="182"/>
    </row>
    <row r="71" spans="2:12" ht="19.5" customHeight="1">
      <c r="B71" s="232" t="s">
        <v>240</v>
      </c>
      <c r="C71" s="230" t="s">
        <v>134</v>
      </c>
      <c r="D71" s="273"/>
      <c r="E71" s="231" t="s">
        <v>136</v>
      </c>
      <c r="F71" s="231"/>
      <c r="G71" s="231"/>
      <c r="H71" s="231"/>
      <c r="I71" s="231"/>
      <c r="J71" s="231"/>
      <c r="K71" s="239"/>
      <c r="L71" s="240"/>
    </row>
    <row r="72" spans="2:12" ht="7.5" customHeight="1">
      <c r="B72" s="177"/>
      <c r="C72" s="178"/>
      <c r="D72" s="185"/>
      <c r="E72" s="186"/>
      <c r="F72" s="179"/>
      <c r="G72" s="180"/>
      <c r="H72" s="180"/>
      <c r="I72" s="180"/>
      <c r="J72" s="180"/>
      <c r="K72" s="181"/>
      <c r="L72" s="182"/>
    </row>
    <row r="73" spans="2:12" ht="30">
      <c r="B73" s="97" t="s">
        <v>766</v>
      </c>
      <c r="C73" s="99" t="s">
        <v>44</v>
      </c>
      <c r="D73" s="150" t="s">
        <v>66</v>
      </c>
      <c r="E73" s="228" t="s">
        <v>65</v>
      </c>
      <c r="F73" s="98" t="s">
        <v>32</v>
      </c>
      <c r="G73" s="108">
        <f>VLOOKUP('Pl Orçamentária'!B73,'Memorial de Cálculo'!$B$16:$M$723,12,FALSE)</f>
        <v>3</v>
      </c>
      <c r="H73" s="105">
        <v>61.08</v>
      </c>
      <c r="I73" s="108">
        <f>ROUND(H73*($I$15/100+1),2)</f>
        <v>76.31</v>
      </c>
      <c r="J73" s="108">
        <f>ROUND(G73*I73,2)</f>
        <v>228.93</v>
      </c>
      <c r="K73" s="281"/>
      <c r="L73" s="107"/>
    </row>
    <row r="74" spans="2:12" ht="30">
      <c r="B74" s="97" t="s">
        <v>767</v>
      </c>
      <c r="C74" s="99" t="s">
        <v>36</v>
      </c>
      <c r="D74" s="99">
        <v>73663</v>
      </c>
      <c r="E74" s="228" t="s">
        <v>153</v>
      </c>
      <c r="F74" s="98" t="s">
        <v>0</v>
      </c>
      <c r="G74" s="108">
        <f>VLOOKUP('Pl Orçamentária'!B74,'Memorial de Cálculo'!$B$16:$M$723,12,FALSE)</f>
        <v>1</v>
      </c>
      <c r="H74" s="105">
        <v>79.84</v>
      </c>
      <c r="I74" s="123">
        <f>ROUND(H74*($I$15/100+1),2)</f>
        <v>99.74</v>
      </c>
      <c r="J74" s="123">
        <f>ROUND(G74*I74,2)</f>
        <v>99.74</v>
      </c>
      <c r="K74" s="106"/>
      <c r="L74" s="107"/>
    </row>
    <row r="75" spans="2:12" ht="30">
      <c r="B75" s="97" t="s">
        <v>768</v>
      </c>
      <c r="C75" s="99" t="s">
        <v>36</v>
      </c>
      <c r="D75" s="99">
        <v>86886</v>
      </c>
      <c r="E75" s="228" t="s">
        <v>670</v>
      </c>
      <c r="F75" s="98" t="s">
        <v>0</v>
      </c>
      <c r="G75" s="108">
        <f>VLOOKUP('Pl Orçamentária'!B75,'Memorial de Cálculo'!$B$16:$M$723,12,FALSE)</f>
        <v>4</v>
      </c>
      <c r="H75" s="105">
        <v>25.3</v>
      </c>
      <c r="I75" s="123">
        <f>ROUND(H75*($I$15/100+1),2)</f>
        <v>31.61</v>
      </c>
      <c r="J75" s="123">
        <f>ROUND(G75*I75,2)</f>
        <v>126.44</v>
      </c>
      <c r="K75" s="106"/>
      <c r="L75" s="107"/>
    </row>
    <row r="76" spans="2:12" ht="7.5" customHeight="1">
      <c r="B76" s="177"/>
      <c r="C76" s="178"/>
      <c r="D76" s="185"/>
      <c r="E76" s="186"/>
      <c r="F76" s="179"/>
      <c r="G76" s="180"/>
      <c r="H76" s="180"/>
      <c r="I76" s="180"/>
      <c r="J76" s="180"/>
      <c r="K76" s="181"/>
      <c r="L76" s="182"/>
    </row>
    <row r="77" spans="2:12" ht="19.5" customHeight="1">
      <c r="B77" s="232" t="s">
        <v>530</v>
      </c>
      <c r="C77" s="230" t="s">
        <v>134</v>
      </c>
      <c r="D77" s="273"/>
      <c r="E77" s="231" t="s">
        <v>137</v>
      </c>
      <c r="F77" s="231"/>
      <c r="G77" s="231"/>
      <c r="H77" s="231"/>
      <c r="I77" s="231"/>
      <c r="J77" s="231"/>
      <c r="K77" s="239"/>
      <c r="L77" s="240"/>
    </row>
    <row r="78" spans="2:12" ht="7.5" customHeight="1">
      <c r="B78" s="177"/>
      <c r="C78" s="178"/>
      <c r="D78" s="185"/>
      <c r="E78" s="186"/>
      <c r="F78" s="179"/>
      <c r="G78" s="180"/>
      <c r="H78" s="180"/>
      <c r="I78" s="180"/>
      <c r="J78" s="180"/>
      <c r="K78" s="181"/>
      <c r="L78" s="182"/>
    </row>
    <row r="79" spans="2:12" ht="30">
      <c r="B79" s="97" t="s">
        <v>531</v>
      </c>
      <c r="C79" s="99" t="s">
        <v>36</v>
      </c>
      <c r="D79" s="150">
        <v>86914</v>
      </c>
      <c r="E79" s="228" t="s">
        <v>334</v>
      </c>
      <c r="F79" s="98" t="s">
        <v>0</v>
      </c>
      <c r="G79" s="108">
        <f>VLOOKUP('Pl Orçamentária'!B79,'Memorial de Cálculo'!$B$16:$M$723,12,FALSE)</f>
        <v>3</v>
      </c>
      <c r="H79" s="105">
        <v>30.05</v>
      </c>
      <c r="I79" s="108">
        <f>ROUND(H79*($I$15/100+1),2)</f>
        <v>37.54</v>
      </c>
      <c r="J79" s="108">
        <f>ROUND(G79*I79,2)</f>
        <v>112.62</v>
      </c>
      <c r="K79" s="106"/>
      <c r="L79" s="107"/>
    </row>
    <row r="80" spans="2:12" ht="30">
      <c r="B80" s="97" t="s">
        <v>532</v>
      </c>
      <c r="C80" s="95" t="s">
        <v>36</v>
      </c>
      <c r="D80" s="519">
        <v>86909</v>
      </c>
      <c r="E80" s="226" t="s">
        <v>332</v>
      </c>
      <c r="F80" s="96" t="s">
        <v>0</v>
      </c>
      <c r="G80" s="91">
        <f>VLOOKUP('Pl Orçamentária'!B80,'Memorial de Cálculo'!$B$16:$M$723,12,FALSE)</f>
        <v>9</v>
      </c>
      <c r="H80" s="105">
        <v>66.15</v>
      </c>
      <c r="I80" s="89">
        <f>ROUND(H80*($I$15/100+1),2)</f>
        <v>82.64</v>
      </c>
      <c r="J80" s="89">
        <f>ROUND(G80*I80,2)</f>
        <v>743.76</v>
      </c>
      <c r="K80" s="94"/>
      <c r="L80" s="93"/>
    </row>
    <row r="81" spans="2:12" ht="30">
      <c r="B81" s="97" t="s">
        <v>533</v>
      </c>
      <c r="C81" s="99" t="s">
        <v>36</v>
      </c>
      <c r="D81" s="150">
        <v>86906</v>
      </c>
      <c r="E81" s="228" t="s">
        <v>333</v>
      </c>
      <c r="F81" s="96" t="s">
        <v>0</v>
      </c>
      <c r="G81" s="108">
        <f>VLOOKUP('Pl Orçamentária'!B81,'Memorial de Cálculo'!$B$16:$M$723,12,FALSE)</f>
        <v>8</v>
      </c>
      <c r="H81" s="105">
        <v>33.08</v>
      </c>
      <c r="I81" s="123">
        <f>ROUND(H81*($I$15/100+1),2)</f>
        <v>41.33</v>
      </c>
      <c r="J81" s="123">
        <f>ROUND(G81*I81,2)</f>
        <v>330.64</v>
      </c>
      <c r="K81" s="106"/>
      <c r="L81" s="107"/>
    </row>
    <row r="82" spans="2:12" ht="15.75">
      <c r="B82" s="97" t="s">
        <v>534</v>
      </c>
      <c r="C82" s="99" t="s">
        <v>44</v>
      </c>
      <c r="D82" s="480" t="s">
        <v>335</v>
      </c>
      <c r="E82" s="479" t="s">
        <v>274</v>
      </c>
      <c r="F82" s="96" t="s">
        <v>0</v>
      </c>
      <c r="G82" s="108">
        <f>VLOOKUP('Pl Orçamentária'!B82,'Memorial de Cálculo'!$B$16:$M$723,12,FALSE)</f>
        <v>10</v>
      </c>
      <c r="H82" s="105">
        <v>149.9</v>
      </c>
      <c r="I82" s="123">
        <f aca="true" t="shared" si="4" ref="I82:I87">ROUND(H82*($I$15/100+1),2)</f>
        <v>187.27</v>
      </c>
      <c r="J82" s="123">
        <f aca="true" t="shared" si="5" ref="J82:J87">ROUND(G82*I82,2)</f>
        <v>1872.7</v>
      </c>
      <c r="K82" s="106"/>
      <c r="L82" s="107"/>
    </row>
    <row r="83" spans="2:12" ht="15.75">
      <c r="B83" s="97" t="s">
        <v>535</v>
      </c>
      <c r="C83" s="99" t="s">
        <v>44</v>
      </c>
      <c r="D83" s="480" t="s">
        <v>335</v>
      </c>
      <c r="E83" s="479" t="s">
        <v>422</v>
      </c>
      <c r="F83" s="96" t="s">
        <v>0</v>
      </c>
      <c r="G83" s="108">
        <f>VLOOKUP('Pl Orçamentária'!B83,'Memorial de Cálculo'!$B$16:$M$723,12,FALSE)</f>
        <v>9</v>
      </c>
      <c r="H83" s="105">
        <v>149.9</v>
      </c>
      <c r="I83" s="123">
        <f>ROUND(H83*($I$15/100+1),2)</f>
        <v>187.27</v>
      </c>
      <c r="J83" s="123">
        <f>ROUND(G83*I83,2)</f>
        <v>1685.43</v>
      </c>
      <c r="K83" s="106"/>
      <c r="L83" s="107"/>
    </row>
    <row r="84" spans="2:12" ht="30">
      <c r="B84" s="97" t="s">
        <v>536</v>
      </c>
      <c r="C84" s="97" t="s">
        <v>44</v>
      </c>
      <c r="D84" s="480" t="s">
        <v>275</v>
      </c>
      <c r="E84" s="481" t="s">
        <v>276</v>
      </c>
      <c r="F84" s="97" t="s">
        <v>0</v>
      </c>
      <c r="G84" s="108">
        <f>VLOOKUP('Pl Orçamentária'!B84,'Memorial de Cálculo'!$B$16:$M$723,12,FALSE)</f>
        <v>5</v>
      </c>
      <c r="H84" s="105">
        <v>331.52</v>
      </c>
      <c r="I84" s="123">
        <f t="shared" si="4"/>
        <v>414.17</v>
      </c>
      <c r="J84" s="123">
        <f t="shared" si="5"/>
        <v>2070.85</v>
      </c>
      <c r="K84" s="106"/>
      <c r="L84" s="107"/>
    </row>
    <row r="85" spans="2:12" ht="15.75">
      <c r="B85" s="97" t="s">
        <v>537</v>
      </c>
      <c r="C85" s="97" t="s">
        <v>44</v>
      </c>
      <c r="D85" s="480" t="s">
        <v>336</v>
      </c>
      <c r="E85" s="479" t="s">
        <v>277</v>
      </c>
      <c r="F85" s="97" t="s">
        <v>28</v>
      </c>
      <c r="G85" s="108">
        <f>VLOOKUP('Pl Orçamentária'!B85,'Memorial de Cálculo'!$B$16:$M$723,12,FALSE)</f>
        <v>5</v>
      </c>
      <c r="H85" s="105">
        <v>69.3</v>
      </c>
      <c r="I85" s="123">
        <f t="shared" si="4"/>
        <v>86.58</v>
      </c>
      <c r="J85" s="123">
        <f t="shared" si="5"/>
        <v>432.9</v>
      </c>
      <c r="K85" s="106"/>
      <c r="L85" s="107"/>
    </row>
    <row r="86" spans="2:12" ht="30">
      <c r="B86" s="97" t="s">
        <v>538</v>
      </c>
      <c r="C86" s="99" t="s">
        <v>44</v>
      </c>
      <c r="D86" s="150" t="s">
        <v>154</v>
      </c>
      <c r="E86" s="228" t="s">
        <v>138</v>
      </c>
      <c r="F86" s="98" t="s">
        <v>0</v>
      </c>
      <c r="G86" s="108">
        <f>VLOOKUP('Pl Orçamentária'!B86,'Memorial de Cálculo'!$B$16:$M$723,12,FALSE)</f>
        <v>19</v>
      </c>
      <c r="H86" s="105">
        <v>49.22</v>
      </c>
      <c r="I86" s="123">
        <f t="shared" si="4"/>
        <v>61.49</v>
      </c>
      <c r="J86" s="123">
        <f t="shared" si="5"/>
        <v>1168.31</v>
      </c>
      <c r="K86" s="106"/>
      <c r="L86" s="107"/>
    </row>
    <row r="87" spans="2:12" ht="19.5" customHeight="1">
      <c r="B87" s="97" t="s">
        <v>765</v>
      </c>
      <c r="C87" s="99" t="s">
        <v>44</v>
      </c>
      <c r="D87" s="150" t="s">
        <v>155</v>
      </c>
      <c r="E87" s="228" t="s">
        <v>139</v>
      </c>
      <c r="F87" s="98" t="s">
        <v>0</v>
      </c>
      <c r="G87" s="108">
        <f>VLOOKUP('Pl Orçamentária'!B87,'Memorial de Cálculo'!$B$16:$M$723,12,FALSE)</f>
        <v>19</v>
      </c>
      <c r="H87" s="105">
        <v>117.22</v>
      </c>
      <c r="I87" s="123">
        <f t="shared" si="4"/>
        <v>146.44</v>
      </c>
      <c r="J87" s="123">
        <f t="shared" si="5"/>
        <v>2782.36</v>
      </c>
      <c r="K87" s="106"/>
      <c r="L87" s="107"/>
    </row>
    <row r="88" spans="2:12" ht="19.5" customHeight="1">
      <c r="B88" s="97" t="s">
        <v>539</v>
      </c>
      <c r="C88" s="99" t="s">
        <v>44</v>
      </c>
      <c r="D88" s="150" t="s">
        <v>156</v>
      </c>
      <c r="E88" s="228" t="s">
        <v>140</v>
      </c>
      <c r="F88" s="98" t="s">
        <v>0</v>
      </c>
      <c r="G88" s="108">
        <f>VLOOKUP('Pl Orçamentária'!B88,'Memorial de Cálculo'!$B$16:$M$723,12,FALSE)</f>
        <v>7</v>
      </c>
      <c r="H88" s="105">
        <v>33.71</v>
      </c>
      <c r="I88" s="123">
        <f>ROUND(H88*($I$15/100+1),2)</f>
        <v>42.11</v>
      </c>
      <c r="J88" s="123">
        <f>ROUND(G88*I88,2)</f>
        <v>294.77</v>
      </c>
      <c r="K88" s="106"/>
      <c r="L88" s="107"/>
    </row>
    <row r="89" spans="2:12" ht="7.5" customHeight="1" thickBot="1">
      <c r="B89" s="177"/>
      <c r="C89" s="178"/>
      <c r="D89" s="185"/>
      <c r="E89" s="186"/>
      <c r="F89" s="179"/>
      <c r="G89" s="180"/>
      <c r="H89" s="180"/>
      <c r="I89" s="180"/>
      <c r="J89" s="180"/>
      <c r="K89" s="181"/>
      <c r="L89" s="182"/>
    </row>
    <row r="90" spans="2:12" ht="22.5" customHeight="1" thickBot="1">
      <c r="B90" s="189" t="s">
        <v>7</v>
      </c>
      <c r="C90" s="191"/>
      <c r="D90" s="198"/>
      <c r="E90" s="241" t="s">
        <v>270</v>
      </c>
      <c r="F90" s="192"/>
      <c r="G90" s="193"/>
      <c r="H90" s="193"/>
      <c r="I90" s="193"/>
      <c r="J90" s="194"/>
      <c r="K90" s="195">
        <f>SUM(J96:J114)</f>
        <v>7336.700000000001</v>
      </c>
      <c r="L90" s="196">
        <f>K90/$K$238</f>
        <v>0.04955669698302407</v>
      </c>
    </row>
    <row r="91" spans="2:12" ht="7.5" customHeight="1">
      <c r="B91" s="177"/>
      <c r="C91" s="178"/>
      <c r="D91" s="185"/>
      <c r="E91" s="186"/>
      <c r="F91" s="179"/>
      <c r="G91" s="180"/>
      <c r="H91" s="180"/>
      <c r="I91" s="180"/>
      <c r="J91" s="180"/>
      <c r="K91" s="181"/>
      <c r="L91" s="182"/>
    </row>
    <row r="92" spans="2:12" ht="19.5" customHeight="1">
      <c r="B92" s="232" t="s">
        <v>128</v>
      </c>
      <c r="C92" s="230" t="s">
        <v>134</v>
      </c>
      <c r="D92" s="273"/>
      <c r="E92" s="231" t="s">
        <v>734</v>
      </c>
      <c r="F92" s="231"/>
      <c r="G92" s="231"/>
      <c r="H92" s="231"/>
      <c r="I92" s="231"/>
      <c r="J92" s="231"/>
      <c r="K92" s="239"/>
      <c r="L92" s="240"/>
    </row>
    <row r="93" spans="2:12" ht="7.5" customHeight="1">
      <c r="B93" s="177"/>
      <c r="C93" s="178"/>
      <c r="D93" s="185"/>
      <c r="E93" s="186"/>
      <c r="F93" s="179"/>
      <c r="G93" s="180"/>
      <c r="H93" s="180"/>
      <c r="I93" s="180"/>
      <c r="J93" s="180"/>
      <c r="K93" s="181"/>
      <c r="L93" s="182"/>
    </row>
    <row r="94" spans="2:12" ht="19.5" customHeight="1">
      <c r="B94" s="122" t="s">
        <v>289</v>
      </c>
      <c r="C94" s="97" t="s">
        <v>44</v>
      </c>
      <c r="D94" s="99" t="s">
        <v>735</v>
      </c>
      <c r="E94" s="649" t="s">
        <v>736</v>
      </c>
      <c r="F94" s="97" t="s">
        <v>0</v>
      </c>
      <c r="G94" s="108">
        <f>VLOOKUP('Pl Orçamentária'!B94,'Memorial de Cálculo'!$B$16:$M$723,12,FALSE)</f>
        <v>1</v>
      </c>
      <c r="H94" s="435">
        <v>252.64</v>
      </c>
      <c r="I94" s="108">
        <f>ROUND(H94*($I$15/100+1),2)</f>
        <v>315.62</v>
      </c>
      <c r="J94" s="108">
        <f>ROUND(G94*I94,2)</f>
        <v>315.62</v>
      </c>
      <c r="K94" s="114"/>
      <c r="L94" s="107"/>
    </row>
    <row r="95" spans="2:12" ht="7.5" customHeight="1">
      <c r="B95" s="177"/>
      <c r="C95" s="178"/>
      <c r="D95" s="185"/>
      <c r="E95" s="186"/>
      <c r="F95" s="179"/>
      <c r="G95" s="180"/>
      <c r="H95" s="180"/>
      <c r="I95" s="180"/>
      <c r="J95" s="180"/>
      <c r="K95" s="181"/>
      <c r="L95" s="182"/>
    </row>
    <row r="96" spans="2:12" ht="19.5" customHeight="1">
      <c r="B96" s="232" t="s">
        <v>325</v>
      </c>
      <c r="C96" s="230" t="s">
        <v>134</v>
      </c>
      <c r="D96" s="273"/>
      <c r="E96" s="231" t="s">
        <v>290</v>
      </c>
      <c r="F96" s="231"/>
      <c r="G96" s="231"/>
      <c r="H96" s="231"/>
      <c r="I96" s="231"/>
      <c r="J96" s="231"/>
      <c r="K96" s="239"/>
      <c r="L96" s="240"/>
    </row>
    <row r="97" spans="2:12" ht="7.5" customHeight="1">
      <c r="B97" s="177"/>
      <c r="C97" s="178"/>
      <c r="D97" s="185"/>
      <c r="E97" s="186"/>
      <c r="F97" s="179"/>
      <c r="G97" s="180"/>
      <c r="H97" s="180"/>
      <c r="I97" s="180"/>
      <c r="J97" s="180"/>
      <c r="K97" s="181"/>
      <c r="L97" s="182"/>
    </row>
    <row r="98" spans="2:12" ht="30">
      <c r="B98" s="97" t="s">
        <v>737</v>
      </c>
      <c r="C98" s="97" t="s">
        <v>44</v>
      </c>
      <c r="D98" s="150" t="s">
        <v>62</v>
      </c>
      <c r="E98" s="216" t="s">
        <v>61</v>
      </c>
      <c r="F98" s="98" t="s">
        <v>32</v>
      </c>
      <c r="G98" s="108">
        <f>VLOOKUP('Pl Orçamentária'!B98,'Memorial de Cálculo'!$B$16:$M$723,12,FALSE)</f>
        <v>16</v>
      </c>
      <c r="H98" s="269">
        <v>140</v>
      </c>
      <c r="I98" s="108">
        <f aca="true" t="shared" si="6" ref="I98:I103">ROUND(H98*($I$15/100+1),2)</f>
        <v>174.9</v>
      </c>
      <c r="J98" s="108">
        <f aca="true" t="shared" si="7" ref="J98:J103">ROUND(G98*I98,2)</f>
        <v>2798.4</v>
      </c>
      <c r="K98" s="151"/>
      <c r="L98" s="152"/>
    </row>
    <row r="99" spans="2:12" ht="45">
      <c r="B99" s="97" t="s">
        <v>738</v>
      </c>
      <c r="C99" s="97" t="s">
        <v>44</v>
      </c>
      <c r="D99" s="150" t="s">
        <v>64</v>
      </c>
      <c r="E99" s="216" t="s">
        <v>63</v>
      </c>
      <c r="F99" s="98" t="s">
        <v>32</v>
      </c>
      <c r="G99" s="108">
        <f>VLOOKUP('Pl Orçamentária'!B99,'Memorial de Cálculo'!$B$16:$M$723,12,FALSE)</f>
        <v>4</v>
      </c>
      <c r="H99" s="436">
        <v>134.84</v>
      </c>
      <c r="I99" s="108">
        <f t="shared" si="6"/>
        <v>168.46</v>
      </c>
      <c r="J99" s="108">
        <f t="shared" si="7"/>
        <v>673.84</v>
      </c>
      <c r="K99" s="151"/>
      <c r="L99" s="152"/>
    </row>
    <row r="100" spans="2:12" ht="45">
      <c r="B100" s="97" t="s">
        <v>739</v>
      </c>
      <c r="C100" s="97" t="s">
        <v>112</v>
      </c>
      <c r="D100" s="150"/>
      <c r="E100" s="216" t="s">
        <v>339</v>
      </c>
      <c r="F100" s="98" t="s">
        <v>32</v>
      </c>
      <c r="G100" s="108">
        <f>VLOOKUP('Pl Orçamentária'!B100,'Memorial de Cálculo'!$B$16:$M$723,12,FALSE)</f>
        <v>1</v>
      </c>
      <c r="H100" s="436">
        <f>'Composições de Custo'!I205</f>
        <v>174.78</v>
      </c>
      <c r="I100" s="108">
        <f t="shared" si="6"/>
        <v>218.35</v>
      </c>
      <c r="J100" s="108">
        <f t="shared" si="7"/>
        <v>218.35</v>
      </c>
      <c r="K100" s="151"/>
      <c r="L100" s="152"/>
    </row>
    <row r="101" spans="2:12" ht="30">
      <c r="B101" s="97" t="s">
        <v>740</v>
      </c>
      <c r="C101" s="97" t="s">
        <v>44</v>
      </c>
      <c r="D101" s="150" t="s">
        <v>118</v>
      </c>
      <c r="E101" s="216" t="s">
        <v>117</v>
      </c>
      <c r="F101" s="98" t="s">
        <v>32</v>
      </c>
      <c r="G101" s="108">
        <f>VLOOKUP('Pl Orçamentária'!B101,'Memorial de Cálculo'!$B$16:$M$723,12,FALSE)</f>
        <v>2</v>
      </c>
      <c r="H101" s="435">
        <v>100.21</v>
      </c>
      <c r="I101" s="108">
        <f t="shared" si="6"/>
        <v>125.19</v>
      </c>
      <c r="J101" s="108">
        <f t="shared" si="7"/>
        <v>250.38</v>
      </c>
      <c r="K101" s="151"/>
      <c r="L101" s="152"/>
    </row>
    <row r="102" spans="2:12" ht="30">
      <c r="B102" s="97" t="s">
        <v>741</v>
      </c>
      <c r="C102" s="97" t="s">
        <v>44</v>
      </c>
      <c r="D102" s="150" t="s">
        <v>340</v>
      </c>
      <c r="E102" s="216" t="s">
        <v>341</v>
      </c>
      <c r="F102" s="98" t="s">
        <v>32</v>
      </c>
      <c r="G102" s="108">
        <f>VLOOKUP('Pl Orçamentária'!B102,'Memorial de Cálculo'!$B$16:$M$723,12,FALSE)</f>
        <v>3</v>
      </c>
      <c r="H102" s="435">
        <v>129.07</v>
      </c>
      <c r="I102" s="108">
        <f t="shared" si="6"/>
        <v>161.25</v>
      </c>
      <c r="J102" s="108">
        <f t="shared" si="7"/>
        <v>483.75</v>
      </c>
      <c r="K102" s="151"/>
      <c r="L102" s="437"/>
    </row>
    <row r="103" spans="2:12" ht="30">
      <c r="B103" s="97" t="s">
        <v>742</v>
      </c>
      <c r="C103" s="97" t="s">
        <v>36</v>
      </c>
      <c r="D103" s="150">
        <v>92000</v>
      </c>
      <c r="E103" s="216" t="s">
        <v>342</v>
      </c>
      <c r="F103" s="98" t="s">
        <v>0</v>
      </c>
      <c r="G103" s="108">
        <f>VLOOKUP('Pl Orçamentária'!B103,'Memorial de Cálculo'!$B$16:$M$723,12,FALSE)</f>
        <v>2</v>
      </c>
      <c r="H103" s="435">
        <v>15.36</v>
      </c>
      <c r="I103" s="108">
        <f t="shared" si="6"/>
        <v>19.19</v>
      </c>
      <c r="J103" s="108">
        <f t="shared" si="7"/>
        <v>38.38</v>
      </c>
      <c r="K103" s="151"/>
      <c r="L103" s="437"/>
    </row>
    <row r="104" spans="2:12" ht="7.5" customHeight="1">
      <c r="B104" s="177"/>
      <c r="C104" s="178"/>
      <c r="D104" s="185"/>
      <c r="E104" s="186"/>
      <c r="F104" s="179"/>
      <c r="G104" s="180"/>
      <c r="H104" s="180"/>
      <c r="I104" s="180"/>
      <c r="J104" s="180"/>
      <c r="K104" s="181"/>
      <c r="L104" s="182"/>
    </row>
    <row r="105" spans="2:12" ht="19.5" customHeight="1">
      <c r="B105" s="232" t="s">
        <v>326</v>
      </c>
      <c r="C105" s="230" t="s">
        <v>134</v>
      </c>
      <c r="D105" s="273"/>
      <c r="E105" s="231" t="s">
        <v>269</v>
      </c>
      <c r="F105" s="231"/>
      <c r="G105" s="231"/>
      <c r="H105" s="231"/>
      <c r="I105" s="231"/>
      <c r="J105" s="231"/>
      <c r="K105" s="239"/>
      <c r="L105" s="240"/>
    </row>
    <row r="106" spans="2:12" ht="7.5" customHeight="1">
      <c r="B106" s="177"/>
      <c r="C106" s="178"/>
      <c r="D106" s="185"/>
      <c r="E106" s="186"/>
      <c r="F106" s="179"/>
      <c r="G106" s="180"/>
      <c r="H106" s="180"/>
      <c r="I106" s="180"/>
      <c r="J106" s="180"/>
      <c r="K106" s="181"/>
      <c r="L106" s="182"/>
    </row>
    <row r="107" spans="2:12" ht="30">
      <c r="B107" s="90" t="s">
        <v>743</v>
      </c>
      <c r="C107" s="90" t="s">
        <v>44</v>
      </c>
      <c r="D107" s="519" t="s">
        <v>343</v>
      </c>
      <c r="E107" s="520" t="s">
        <v>151</v>
      </c>
      <c r="F107" s="96" t="s">
        <v>0</v>
      </c>
      <c r="G107" s="91">
        <f>VLOOKUP('Pl Orçamentária'!B107,'Memorial de Cálculo'!$B$16:$M$723,12,FALSE)</f>
        <v>4</v>
      </c>
      <c r="H107" s="521">
        <v>149.86</v>
      </c>
      <c r="I107" s="91">
        <f>ROUND(H107*($I$15/100+1),2)</f>
        <v>187.22</v>
      </c>
      <c r="J107" s="91">
        <f>ROUND(G107*I107,2)</f>
        <v>748.88</v>
      </c>
      <c r="K107" s="94"/>
      <c r="L107" s="93"/>
    </row>
    <row r="108" spans="2:12" ht="15.75">
      <c r="B108" s="90" t="s">
        <v>744</v>
      </c>
      <c r="C108" s="90" t="s">
        <v>44</v>
      </c>
      <c r="D108" s="519">
        <v>7801</v>
      </c>
      <c r="E108" s="520" t="s">
        <v>267</v>
      </c>
      <c r="F108" s="96" t="s">
        <v>0</v>
      </c>
      <c r="G108" s="91">
        <f>VLOOKUP('Pl Orçamentária'!B108,'Memorial de Cálculo'!$B$16:$M$723,12,FALSE)</f>
        <v>16</v>
      </c>
      <c r="H108" s="521">
        <v>51.64</v>
      </c>
      <c r="I108" s="89">
        <f>ROUND(H108*($I$15/100+1),2)</f>
        <v>64.51</v>
      </c>
      <c r="J108" s="89">
        <f>ROUND(G108*I108,2)</f>
        <v>1032.16</v>
      </c>
      <c r="K108" s="94"/>
      <c r="L108" s="93"/>
    </row>
    <row r="109" spans="2:12" ht="19.5" customHeight="1">
      <c r="B109" s="90" t="s">
        <v>745</v>
      </c>
      <c r="C109" s="97" t="s">
        <v>44</v>
      </c>
      <c r="D109" s="150" t="s">
        <v>152</v>
      </c>
      <c r="E109" s="216" t="s">
        <v>145</v>
      </c>
      <c r="F109" s="96" t="s">
        <v>0</v>
      </c>
      <c r="G109" s="91">
        <f>VLOOKUP('Pl Orçamentária'!B109,'Memorial de Cálculo'!$B$16:$M$723,12,FALSE)</f>
        <v>4</v>
      </c>
      <c r="H109" s="435">
        <v>52.58</v>
      </c>
      <c r="I109" s="89">
        <f>ROUND(H109*($I$15/100+1),2)</f>
        <v>65.69</v>
      </c>
      <c r="J109" s="89">
        <f>ROUND(G109*I109,2)</f>
        <v>262.76</v>
      </c>
      <c r="K109" s="94"/>
      <c r="L109" s="93"/>
    </row>
    <row r="110" spans="2:12" ht="7.5" customHeight="1">
      <c r="B110" s="177"/>
      <c r="C110" s="178"/>
      <c r="D110" s="185"/>
      <c r="E110" s="186"/>
      <c r="F110" s="179"/>
      <c r="G110" s="180"/>
      <c r="H110" s="180"/>
      <c r="I110" s="180"/>
      <c r="J110" s="180"/>
      <c r="K110" s="181"/>
      <c r="L110" s="182"/>
    </row>
    <row r="111" spans="2:12" ht="19.5" customHeight="1">
      <c r="B111" s="232" t="s">
        <v>746</v>
      </c>
      <c r="C111" s="230" t="s">
        <v>134</v>
      </c>
      <c r="D111" s="273"/>
      <c r="E111" s="231" t="s">
        <v>271</v>
      </c>
      <c r="F111" s="231"/>
      <c r="G111" s="231"/>
      <c r="H111" s="231"/>
      <c r="I111" s="231"/>
      <c r="J111" s="231"/>
      <c r="K111" s="239"/>
      <c r="L111" s="240"/>
    </row>
    <row r="112" spans="2:12" ht="7.5" customHeight="1">
      <c r="B112" s="177"/>
      <c r="C112" s="178"/>
      <c r="D112" s="185"/>
      <c r="E112" s="186"/>
      <c r="F112" s="179"/>
      <c r="G112" s="180"/>
      <c r="H112" s="180"/>
      <c r="I112" s="180"/>
      <c r="J112" s="180"/>
      <c r="K112" s="181"/>
      <c r="L112" s="182"/>
    </row>
    <row r="113" spans="2:12" ht="30">
      <c r="B113" s="97" t="s">
        <v>747</v>
      </c>
      <c r="C113" s="95" t="s">
        <v>36</v>
      </c>
      <c r="D113" s="95" t="s">
        <v>256</v>
      </c>
      <c r="E113" s="226" t="s">
        <v>255</v>
      </c>
      <c r="F113" s="98" t="s">
        <v>0</v>
      </c>
      <c r="G113" s="108">
        <f>VLOOKUP('Pl Orçamentária'!B113,'Memorial de Cálculo'!$B$16:$M$723,12,FALSE)</f>
        <v>2</v>
      </c>
      <c r="H113" s="105">
        <v>163.46</v>
      </c>
      <c r="I113" s="108">
        <f>ROUND(H113*($I$15/100+1),2)</f>
        <v>204.21</v>
      </c>
      <c r="J113" s="108">
        <f>ROUND(G113*I113,2)</f>
        <v>408.42</v>
      </c>
      <c r="K113" s="106"/>
      <c r="L113" s="107"/>
    </row>
    <row r="114" spans="2:12" ht="30">
      <c r="B114" s="97" t="s">
        <v>748</v>
      </c>
      <c r="C114" s="95" t="s">
        <v>36</v>
      </c>
      <c r="D114" s="95" t="s">
        <v>257</v>
      </c>
      <c r="E114" s="226" t="s">
        <v>344</v>
      </c>
      <c r="F114" s="98" t="s">
        <v>0</v>
      </c>
      <c r="G114" s="108">
        <f>VLOOKUP('Pl Orçamentária'!B114,'Memorial de Cálculo'!$B$16:$M$723,12,FALSE)</f>
        <v>2</v>
      </c>
      <c r="H114" s="105">
        <v>168.65</v>
      </c>
      <c r="I114" s="123">
        <f>ROUND(H114*($I$15/100+1),2)</f>
        <v>210.69</v>
      </c>
      <c r="J114" s="123">
        <f>ROUND(G114*I114,2)</f>
        <v>421.38</v>
      </c>
      <c r="K114" s="106"/>
      <c r="L114" s="107"/>
    </row>
    <row r="115" spans="2:12" ht="7.5" customHeight="1" thickBot="1">
      <c r="B115" s="187"/>
      <c r="C115" s="188"/>
      <c r="D115" s="272"/>
      <c r="E115" s="277"/>
      <c r="F115" s="179"/>
      <c r="G115" s="180"/>
      <c r="H115" s="180"/>
      <c r="I115" s="180"/>
      <c r="J115" s="180"/>
      <c r="K115" s="181"/>
      <c r="L115" s="182"/>
    </row>
    <row r="116" spans="2:12" ht="22.5" customHeight="1" thickBot="1">
      <c r="B116" s="197" t="s">
        <v>327</v>
      </c>
      <c r="C116" s="190"/>
      <c r="D116" s="198"/>
      <c r="E116" s="241" t="s">
        <v>10</v>
      </c>
      <c r="F116" s="192"/>
      <c r="G116" s="193"/>
      <c r="H116" s="193"/>
      <c r="I116" s="193"/>
      <c r="J116" s="194"/>
      <c r="K116" s="195">
        <f>SUM(J120:J121)</f>
        <v>2005.6399999999999</v>
      </c>
      <c r="L116" s="196">
        <f>K116/$K$238</f>
        <v>0.013547356950268154</v>
      </c>
    </row>
    <row r="117" spans="2:12" ht="7.5" customHeight="1">
      <c r="B117" s="177"/>
      <c r="C117" s="178"/>
      <c r="D117" s="185"/>
      <c r="E117" s="186"/>
      <c r="F117" s="179"/>
      <c r="G117" s="180"/>
      <c r="H117" s="180"/>
      <c r="I117" s="180"/>
      <c r="J117" s="180"/>
      <c r="K117" s="181"/>
      <c r="L117" s="182"/>
    </row>
    <row r="118" spans="2:12" ht="19.5" customHeight="1">
      <c r="B118" s="232" t="s">
        <v>328</v>
      </c>
      <c r="C118" s="230" t="s">
        <v>134</v>
      </c>
      <c r="D118" s="273"/>
      <c r="E118" s="231" t="s">
        <v>241</v>
      </c>
      <c r="F118" s="231"/>
      <c r="G118" s="231"/>
      <c r="H118" s="231"/>
      <c r="I118" s="231"/>
      <c r="J118" s="231"/>
      <c r="K118" s="239"/>
      <c r="L118" s="240"/>
    </row>
    <row r="119" spans="2:12" ht="7.5" customHeight="1">
      <c r="B119" s="177"/>
      <c r="C119" s="178"/>
      <c r="D119" s="185"/>
      <c r="E119" s="186"/>
      <c r="F119" s="179"/>
      <c r="G119" s="180"/>
      <c r="H119" s="180"/>
      <c r="I119" s="180"/>
      <c r="J119" s="180"/>
      <c r="K119" s="181"/>
      <c r="L119" s="182"/>
    </row>
    <row r="120" spans="2:12" ht="33.75" customHeight="1">
      <c r="B120" s="87" t="s">
        <v>329</v>
      </c>
      <c r="C120" s="90" t="s">
        <v>36</v>
      </c>
      <c r="D120" s="90">
        <v>87792</v>
      </c>
      <c r="E120" s="267" t="s">
        <v>89</v>
      </c>
      <c r="F120" s="90" t="s">
        <v>33</v>
      </c>
      <c r="G120" s="91">
        <f>VLOOKUP('Pl Orçamentária'!B120,'Memorial de Cálculo'!$B$16:$M$723,12,FALSE)</f>
        <v>27.380000000000003</v>
      </c>
      <c r="H120" s="491">
        <v>18.64</v>
      </c>
      <c r="I120" s="91">
        <f>ROUND(H120*($I$15/100+1),2)</f>
        <v>23.29</v>
      </c>
      <c r="J120" s="91">
        <f>ROUND(G120*I120,2)</f>
        <v>637.68</v>
      </c>
      <c r="K120" s="94"/>
      <c r="L120" s="93"/>
    </row>
    <row r="121" spans="2:12" ht="19.5" customHeight="1">
      <c r="B121" s="87" t="s">
        <v>330</v>
      </c>
      <c r="C121" s="97" t="s">
        <v>36</v>
      </c>
      <c r="D121" s="480">
        <v>87266</v>
      </c>
      <c r="E121" s="481" t="s">
        <v>345</v>
      </c>
      <c r="F121" s="97" t="s">
        <v>33</v>
      </c>
      <c r="G121" s="108">
        <f>VLOOKUP('Pl Orçamentária'!B121,'Memorial de Cálculo'!$B$16:$M$723,12,FALSE)</f>
        <v>30.809999999999995</v>
      </c>
      <c r="H121" s="382">
        <v>35.54</v>
      </c>
      <c r="I121" s="155">
        <f>ROUND(H121*($I$15/100+1),2)</f>
        <v>44.4</v>
      </c>
      <c r="J121" s="155">
        <f>ROUND(G121*I121,2)</f>
        <v>1367.96</v>
      </c>
      <c r="K121" s="279"/>
      <c r="L121" s="280"/>
    </row>
    <row r="122" spans="2:12" ht="7.5" customHeight="1" thickBot="1">
      <c r="B122" s="187"/>
      <c r="C122" s="188"/>
      <c r="D122" s="272"/>
      <c r="E122" s="277"/>
      <c r="F122" s="179"/>
      <c r="G122" s="180"/>
      <c r="H122" s="180"/>
      <c r="I122" s="180"/>
      <c r="J122" s="180"/>
      <c r="K122" s="181"/>
      <c r="L122" s="182"/>
    </row>
    <row r="123" spans="2:12" ht="22.5" customHeight="1" thickBot="1">
      <c r="B123" s="197" t="s">
        <v>337</v>
      </c>
      <c r="C123" s="190"/>
      <c r="D123" s="198"/>
      <c r="E123" s="241" t="s">
        <v>8</v>
      </c>
      <c r="F123" s="192"/>
      <c r="G123" s="193"/>
      <c r="H123" s="193"/>
      <c r="I123" s="193"/>
      <c r="J123" s="194"/>
      <c r="K123" s="195">
        <f>SUM(J125:J126)</f>
        <v>199.70999999999998</v>
      </c>
      <c r="L123" s="196">
        <f>K123/$K$238</f>
        <v>0.0013489672406503924</v>
      </c>
    </row>
    <row r="124" spans="2:12" ht="7.5" customHeight="1">
      <c r="B124" s="177"/>
      <c r="C124" s="178"/>
      <c r="D124" s="185"/>
      <c r="E124" s="186"/>
      <c r="F124" s="179"/>
      <c r="G124" s="180"/>
      <c r="H124" s="180"/>
      <c r="I124" s="180"/>
      <c r="J124" s="180"/>
      <c r="K124" s="181"/>
      <c r="L124" s="182"/>
    </row>
    <row r="125" spans="2:12" ht="28.5" customHeight="1">
      <c r="B125" s="97" t="s">
        <v>338</v>
      </c>
      <c r="C125" s="217" t="s">
        <v>44</v>
      </c>
      <c r="D125" s="270" t="s">
        <v>346</v>
      </c>
      <c r="E125" s="244" t="s">
        <v>347</v>
      </c>
      <c r="F125" s="97" t="s">
        <v>33</v>
      </c>
      <c r="G125" s="91">
        <f>VLOOKUP('Pl Orçamentária'!B125,'Memorial de Cálculo'!$B$16:$M$723,12,FALSE)</f>
        <v>2.84</v>
      </c>
      <c r="H125" s="245">
        <v>15.08</v>
      </c>
      <c r="I125" s="108">
        <f>ROUND(H125*($I$15/100+1),2)</f>
        <v>18.84</v>
      </c>
      <c r="J125" s="108">
        <f>ROUND(G125*I125,2)</f>
        <v>53.51</v>
      </c>
      <c r="K125" s="106"/>
      <c r="L125" s="107"/>
    </row>
    <row r="126" spans="2:12" ht="18" customHeight="1">
      <c r="B126" s="97" t="s">
        <v>133</v>
      </c>
      <c r="C126" s="97" t="s">
        <v>36</v>
      </c>
      <c r="D126" s="480">
        <v>87249</v>
      </c>
      <c r="E126" s="481" t="s">
        <v>671</v>
      </c>
      <c r="F126" s="90" t="s">
        <v>33</v>
      </c>
      <c r="G126" s="91">
        <f>VLOOKUP('Pl Orçamentária'!B126,'Memorial de Cálculo'!$B$16:$M$723,12,FALSE)</f>
        <v>2.84</v>
      </c>
      <c r="H126" s="382">
        <v>41.21</v>
      </c>
      <c r="I126" s="108">
        <f>ROUND(H126*($I$15/100+1),2)</f>
        <v>51.48</v>
      </c>
      <c r="J126" s="108">
        <f>ROUND(G126*I126,2)</f>
        <v>146.2</v>
      </c>
      <c r="K126" s="106"/>
      <c r="L126" s="107"/>
    </row>
    <row r="127" spans="2:12" ht="7.5" customHeight="1" thickBot="1">
      <c r="B127" s="187"/>
      <c r="C127" s="188"/>
      <c r="D127" s="272"/>
      <c r="E127" s="277"/>
      <c r="F127" s="179"/>
      <c r="G127" s="180"/>
      <c r="H127" s="180"/>
      <c r="I127" s="180"/>
      <c r="J127" s="180"/>
      <c r="K127" s="181"/>
      <c r="L127" s="182"/>
    </row>
    <row r="128" spans="2:12" ht="22.5" customHeight="1" thickBot="1">
      <c r="B128" s="197" t="s">
        <v>17</v>
      </c>
      <c r="C128" s="190"/>
      <c r="D128" s="198"/>
      <c r="E128" s="241" t="s">
        <v>11</v>
      </c>
      <c r="F128" s="192"/>
      <c r="G128" s="193"/>
      <c r="H128" s="193"/>
      <c r="I128" s="193"/>
      <c r="J128" s="194"/>
      <c r="K128" s="195">
        <f>SUM(J130:J139)</f>
        <v>36317.44</v>
      </c>
      <c r="L128" s="196">
        <f>K128/$K$238</f>
        <v>0.24531088490454256</v>
      </c>
    </row>
    <row r="129" spans="2:12" ht="7.5" customHeight="1">
      <c r="B129" s="177"/>
      <c r="C129" s="178"/>
      <c r="D129" s="185"/>
      <c r="E129" s="186"/>
      <c r="F129" s="179"/>
      <c r="G129" s="180"/>
      <c r="H129" s="180"/>
      <c r="I129" s="180"/>
      <c r="J129" s="180"/>
      <c r="K129" s="181"/>
      <c r="L129" s="182"/>
    </row>
    <row r="130" spans="2:12" ht="19.5" customHeight="1">
      <c r="B130" s="90" t="s">
        <v>141</v>
      </c>
      <c r="C130" s="111" t="s">
        <v>36</v>
      </c>
      <c r="D130" s="111">
        <v>88414</v>
      </c>
      <c r="E130" s="156" t="s">
        <v>349</v>
      </c>
      <c r="F130" s="90" t="s">
        <v>33</v>
      </c>
      <c r="G130" s="91">
        <f>VLOOKUP('Pl Orçamentária'!B130,'Memorial de Cálculo'!$B$16:$M$723,12,FALSE)</f>
        <v>21.42</v>
      </c>
      <c r="H130" s="112">
        <v>2.42</v>
      </c>
      <c r="I130" s="91">
        <f aca="true" t="shared" si="8" ref="I130:I137">ROUND(H130*($I$15/100+1),2)</f>
        <v>3.02</v>
      </c>
      <c r="J130" s="91">
        <f aca="true" t="shared" si="9" ref="J130:J136">ROUND(G130*I130,2)</f>
        <v>64.69</v>
      </c>
      <c r="K130" s="94"/>
      <c r="L130" s="93"/>
    </row>
    <row r="131" spans="2:12" ht="35.25" customHeight="1">
      <c r="B131" s="90" t="s">
        <v>142</v>
      </c>
      <c r="C131" s="111" t="s">
        <v>36</v>
      </c>
      <c r="D131" s="88">
        <v>88497</v>
      </c>
      <c r="E131" s="266" t="s">
        <v>60</v>
      </c>
      <c r="F131" s="90" t="s">
        <v>33</v>
      </c>
      <c r="G131" s="91">
        <f>VLOOKUP('Pl Orçamentária'!B131,'Memorial de Cálculo'!$B$16:$M$723,12,FALSE)</f>
        <v>21.42</v>
      </c>
      <c r="H131" s="491">
        <v>8.73</v>
      </c>
      <c r="I131" s="91">
        <f t="shared" si="8"/>
        <v>10.91</v>
      </c>
      <c r="J131" s="91">
        <f t="shared" si="9"/>
        <v>233.69</v>
      </c>
      <c r="K131" s="94"/>
      <c r="L131" s="93"/>
    </row>
    <row r="132" spans="2:12" ht="38.25" customHeight="1">
      <c r="B132" s="90" t="s">
        <v>540</v>
      </c>
      <c r="C132" s="111" t="s">
        <v>36</v>
      </c>
      <c r="D132" s="283">
        <v>88489</v>
      </c>
      <c r="E132" s="282" t="s">
        <v>231</v>
      </c>
      <c r="F132" s="90" t="s">
        <v>33</v>
      </c>
      <c r="G132" s="91">
        <f>VLOOKUP('Pl Orçamentária'!B132,'Memorial de Cálculo'!$B$16:$M$723,12,FALSE)</f>
        <v>620.5969999999999</v>
      </c>
      <c r="H132" s="491">
        <v>8.13</v>
      </c>
      <c r="I132" s="91">
        <f t="shared" si="8"/>
        <v>10.16</v>
      </c>
      <c r="J132" s="91">
        <f t="shared" si="9"/>
        <v>6305.27</v>
      </c>
      <c r="K132" s="94"/>
      <c r="L132" s="93"/>
    </row>
    <row r="133" spans="2:12" ht="18" customHeight="1">
      <c r="B133" s="90" t="s">
        <v>541</v>
      </c>
      <c r="C133" s="111" t="s">
        <v>36</v>
      </c>
      <c r="D133" s="283" t="s">
        <v>752</v>
      </c>
      <c r="E133" s="282" t="s">
        <v>753</v>
      </c>
      <c r="F133" s="90" t="s">
        <v>33</v>
      </c>
      <c r="G133" s="91">
        <f>VLOOKUP('Pl Orçamentária'!B133,'Memorial de Cálculo'!$B$16:$M$723,12,FALSE)</f>
        <v>58.51999999999999</v>
      </c>
      <c r="H133" s="491">
        <v>46.26</v>
      </c>
      <c r="I133" s="91">
        <f>ROUND(H133*($I$15/100+1),2)</f>
        <v>57.79</v>
      </c>
      <c r="J133" s="91">
        <f>ROUND(G133*I133,2)</f>
        <v>3381.87</v>
      </c>
      <c r="K133" s="94"/>
      <c r="L133" s="93"/>
    </row>
    <row r="134" spans="2:12" ht="30">
      <c r="B134" s="90" t="s">
        <v>542</v>
      </c>
      <c r="C134" s="110" t="s">
        <v>36</v>
      </c>
      <c r="D134" s="380">
        <v>88431</v>
      </c>
      <c r="E134" s="381" t="s">
        <v>272</v>
      </c>
      <c r="F134" s="90" t="s">
        <v>33</v>
      </c>
      <c r="G134" s="91">
        <f>VLOOKUP('Pl Orçamentária'!B134,'Memorial de Cálculo'!$B$16:$M$723,12,FALSE)</f>
        <v>391.6745</v>
      </c>
      <c r="H134" s="491">
        <v>13.8</v>
      </c>
      <c r="I134" s="91">
        <f t="shared" si="8"/>
        <v>17.24</v>
      </c>
      <c r="J134" s="91">
        <f>ROUND(G134*I134,2)</f>
        <v>6752.47</v>
      </c>
      <c r="K134" s="94"/>
      <c r="L134" s="93"/>
    </row>
    <row r="135" spans="2:12" ht="19.5" customHeight="1">
      <c r="B135" s="90" t="s">
        <v>543</v>
      </c>
      <c r="C135" s="110" t="s">
        <v>36</v>
      </c>
      <c r="D135" s="113">
        <v>88496</v>
      </c>
      <c r="E135" s="266" t="s">
        <v>158</v>
      </c>
      <c r="F135" s="90" t="s">
        <v>33</v>
      </c>
      <c r="G135" s="91">
        <f>VLOOKUP('Pl Orçamentária'!B135,'Memorial de Cálculo'!$B$16:$M$723,12,FALSE)</f>
        <v>268.57</v>
      </c>
      <c r="H135" s="491">
        <v>14.54</v>
      </c>
      <c r="I135" s="91">
        <f t="shared" si="8"/>
        <v>18.16</v>
      </c>
      <c r="J135" s="91">
        <f t="shared" si="9"/>
        <v>4877.23</v>
      </c>
      <c r="K135" s="94"/>
      <c r="L135" s="93"/>
    </row>
    <row r="136" spans="2:12" ht="30">
      <c r="B136" s="90" t="s">
        <v>544</v>
      </c>
      <c r="C136" s="110" t="s">
        <v>36</v>
      </c>
      <c r="D136" s="113">
        <v>88486</v>
      </c>
      <c r="E136" s="266" t="s">
        <v>115</v>
      </c>
      <c r="F136" s="90" t="s">
        <v>33</v>
      </c>
      <c r="G136" s="91">
        <f>VLOOKUP('Pl Orçamentária'!B136,'Memorial de Cálculo'!$B$16:$M$723,12,FALSE)</f>
        <v>268.57</v>
      </c>
      <c r="H136" s="522">
        <v>7.16</v>
      </c>
      <c r="I136" s="246">
        <f t="shared" si="8"/>
        <v>8.94</v>
      </c>
      <c r="J136" s="91">
        <f t="shared" si="9"/>
        <v>2401.02</v>
      </c>
      <c r="K136" s="94"/>
      <c r="L136" s="93"/>
    </row>
    <row r="137" spans="2:12" ht="30">
      <c r="B137" s="90" t="s">
        <v>545</v>
      </c>
      <c r="C137" s="110" t="s">
        <v>36</v>
      </c>
      <c r="D137" s="113" t="s">
        <v>157</v>
      </c>
      <c r="E137" s="266" t="s">
        <v>252</v>
      </c>
      <c r="F137" s="90" t="s">
        <v>33</v>
      </c>
      <c r="G137" s="91">
        <f>VLOOKUP('Pl Orçamentária'!B137,'Memorial de Cálculo'!$B$16:$M$723,12,FALSE)</f>
        <v>152.49000000000004</v>
      </c>
      <c r="H137" s="522">
        <v>16.64</v>
      </c>
      <c r="I137" s="246">
        <f t="shared" si="8"/>
        <v>20.79</v>
      </c>
      <c r="J137" s="91">
        <f>ROUND(G137*I137,2)</f>
        <v>3170.27</v>
      </c>
      <c r="K137" s="94"/>
      <c r="L137" s="93"/>
    </row>
    <row r="138" spans="2:12" ht="30">
      <c r="B138" s="90" t="s">
        <v>546</v>
      </c>
      <c r="C138" s="110" t="s">
        <v>36</v>
      </c>
      <c r="D138" s="113" t="s">
        <v>351</v>
      </c>
      <c r="E138" s="266" t="s">
        <v>361</v>
      </c>
      <c r="F138" s="470" t="s">
        <v>33</v>
      </c>
      <c r="G138" s="91">
        <f>VLOOKUP('Pl Orçamentária'!B138,'Memorial de Cálculo'!$B$16:$M$723,12,FALSE)</f>
        <v>546.264</v>
      </c>
      <c r="H138" s="247">
        <v>4.96</v>
      </c>
      <c r="I138" s="246">
        <f>ROUND(H138*($I$15/100+1),2)</f>
        <v>6.2</v>
      </c>
      <c r="J138" s="91">
        <f>ROUND(G138*I138,2)</f>
        <v>3386.84</v>
      </c>
      <c r="K138" s="94"/>
      <c r="L138" s="93"/>
    </row>
    <row r="139" spans="2:12" ht="30">
      <c r="B139" s="90" t="s">
        <v>547</v>
      </c>
      <c r="C139" s="110" t="s">
        <v>36</v>
      </c>
      <c r="D139" s="380">
        <v>6067</v>
      </c>
      <c r="E139" s="282" t="s">
        <v>350</v>
      </c>
      <c r="F139" s="470" t="s">
        <v>33</v>
      </c>
      <c r="G139" s="91">
        <f>VLOOKUP('Pl Orçamentária'!B139,'Memorial de Cálculo'!$B$16:$M$723,12,FALSE)</f>
        <v>191.02400000000003</v>
      </c>
      <c r="H139" s="522">
        <v>24.07</v>
      </c>
      <c r="I139" s="246">
        <f>ROUND(H139*($I$15/100+1),2)</f>
        <v>30.07</v>
      </c>
      <c r="J139" s="91">
        <f>ROUND(G139*I139,2)</f>
        <v>5744.09</v>
      </c>
      <c r="K139" s="94"/>
      <c r="L139" s="93"/>
    </row>
    <row r="140" spans="2:12" ht="7.5" customHeight="1" thickBot="1">
      <c r="B140" s="187"/>
      <c r="C140" s="188"/>
      <c r="D140" s="272"/>
      <c r="E140" s="277"/>
      <c r="F140" s="179"/>
      <c r="G140" s="180"/>
      <c r="H140" s="180"/>
      <c r="I140" s="180"/>
      <c r="J140" s="180"/>
      <c r="K140" s="181"/>
      <c r="L140" s="182"/>
    </row>
    <row r="141" spans="2:12" ht="22.5" customHeight="1" thickBot="1">
      <c r="B141" s="197" t="s">
        <v>58</v>
      </c>
      <c r="C141" s="190"/>
      <c r="D141" s="198"/>
      <c r="E141" s="241" t="s">
        <v>12</v>
      </c>
      <c r="F141" s="192"/>
      <c r="G141" s="193"/>
      <c r="H141" s="193"/>
      <c r="I141" s="193"/>
      <c r="J141" s="194"/>
      <c r="K141" s="195">
        <f>SUM(J143)</f>
        <v>1212.31</v>
      </c>
      <c r="L141" s="196">
        <f>K141/$K$238</f>
        <v>0.008188706001266224</v>
      </c>
    </row>
    <row r="142" spans="2:12" ht="7.5" customHeight="1">
      <c r="B142" s="177"/>
      <c r="C142" s="178"/>
      <c r="D142" s="185"/>
      <c r="E142" s="186"/>
      <c r="F142" s="179"/>
      <c r="G142" s="180"/>
      <c r="H142" s="180"/>
      <c r="I142" s="180"/>
      <c r="J142" s="180"/>
      <c r="K142" s="181"/>
      <c r="L142" s="182"/>
    </row>
    <row r="143" spans="2:12" ht="18" customHeight="1">
      <c r="B143" s="97" t="s">
        <v>143</v>
      </c>
      <c r="C143" s="97" t="s">
        <v>36</v>
      </c>
      <c r="D143" s="113">
        <v>9537</v>
      </c>
      <c r="E143" s="278" t="s">
        <v>31</v>
      </c>
      <c r="F143" s="97" t="s">
        <v>33</v>
      </c>
      <c r="G143" s="108">
        <f>VLOOKUP('Pl Orçamentária'!B143,'Memorial de Cálculo'!$B$16:$M$723,12,FALSE)</f>
        <v>655.3</v>
      </c>
      <c r="H143" s="382">
        <v>1.48</v>
      </c>
      <c r="I143" s="108">
        <f>ROUND(H143*($I$15/100+1),2)</f>
        <v>1.85</v>
      </c>
      <c r="J143" s="108">
        <f>ROUND(G143*I143,2)</f>
        <v>1212.31</v>
      </c>
      <c r="K143" s="106"/>
      <c r="L143" s="107"/>
    </row>
    <row r="144" spans="2:12" ht="7.5" customHeight="1" thickBot="1">
      <c r="B144" s="602"/>
      <c r="C144" s="179"/>
      <c r="D144" s="188"/>
      <c r="E144" s="603"/>
      <c r="F144" s="179"/>
      <c r="G144" s="180"/>
      <c r="H144" s="604"/>
      <c r="I144" s="180"/>
      <c r="J144" s="605"/>
      <c r="K144" s="606"/>
      <c r="L144" s="607"/>
    </row>
    <row r="145" spans="2:12" ht="22.5" customHeight="1" thickBot="1">
      <c r="B145" s="197" t="s">
        <v>59</v>
      </c>
      <c r="C145" s="190"/>
      <c r="D145" s="198"/>
      <c r="E145" s="241" t="s">
        <v>548</v>
      </c>
      <c r="F145" s="192"/>
      <c r="G145" s="193"/>
      <c r="H145" s="193"/>
      <c r="I145" s="193"/>
      <c r="J145" s="194"/>
      <c r="K145" s="195">
        <f>SUM(J147:J236)</f>
        <v>32683.93</v>
      </c>
      <c r="L145" s="196">
        <f>K145/$K$238</f>
        <v>0.22076786773677126</v>
      </c>
    </row>
    <row r="146" spans="2:12" ht="7.5" customHeight="1">
      <c r="B146" s="177"/>
      <c r="C146" s="178"/>
      <c r="D146" s="185"/>
      <c r="E146" s="186"/>
      <c r="F146" s="179"/>
      <c r="G146" s="180"/>
      <c r="H146" s="180"/>
      <c r="I146" s="180"/>
      <c r="J146" s="180"/>
      <c r="K146" s="181"/>
      <c r="L146" s="182"/>
    </row>
    <row r="147" spans="2:12" ht="22.5" customHeight="1">
      <c r="B147" s="232" t="s">
        <v>232</v>
      </c>
      <c r="C147" s="230"/>
      <c r="D147" s="273"/>
      <c r="E147" s="231" t="s">
        <v>6</v>
      </c>
      <c r="F147" s="231"/>
      <c r="G147" s="231"/>
      <c r="H147" s="231"/>
      <c r="I147" s="231"/>
      <c r="J147" s="231"/>
      <c r="K147" s="239"/>
      <c r="L147" s="240"/>
    </row>
    <row r="148" spans="2:12" ht="7.5" customHeight="1">
      <c r="B148" s="177"/>
      <c r="C148" s="178"/>
      <c r="D148" s="185"/>
      <c r="E148" s="186"/>
      <c r="F148" s="179"/>
      <c r="G148" s="180"/>
      <c r="H148" s="180"/>
      <c r="I148" s="180"/>
      <c r="J148" s="180"/>
      <c r="K148" s="181"/>
      <c r="L148" s="182"/>
    </row>
    <row r="149" spans="2:12" ht="30">
      <c r="B149" s="122" t="s">
        <v>549</v>
      </c>
      <c r="C149" s="283" t="s">
        <v>36</v>
      </c>
      <c r="D149" s="283" t="s">
        <v>449</v>
      </c>
      <c r="E149" s="282" t="s">
        <v>450</v>
      </c>
      <c r="F149" s="97" t="s">
        <v>33</v>
      </c>
      <c r="G149" s="108">
        <f>VLOOKUP('Pl Orçamentária'!B149,'Memorial de Cálculo'!$B$16:$M$723,12,FALSE)</f>
        <v>15.575000000000001</v>
      </c>
      <c r="H149" s="382">
        <v>6.91</v>
      </c>
      <c r="I149" s="108">
        <f>ROUND(H149*($I$15/100+1),2)</f>
        <v>8.63</v>
      </c>
      <c r="J149" s="108">
        <f>ROUND(I149*G149,2)</f>
        <v>134.41</v>
      </c>
      <c r="K149" s="106"/>
      <c r="L149" s="107"/>
    </row>
    <row r="150" spans="2:12" ht="7.5" customHeight="1">
      <c r="B150" s="177"/>
      <c r="C150" s="178"/>
      <c r="D150" s="185"/>
      <c r="E150" s="186"/>
      <c r="F150" s="179"/>
      <c r="G150" s="180"/>
      <c r="H150" s="180"/>
      <c r="I150" s="180"/>
      <c r="J150" s="180"/>
      <c r="K150" s="181"/>
      <c r="L150" s="182"/>
    </row>
    <row r="151" spans="2:12" ht="22.5" customHeight="1">
      <c r="B151" s="232" t="s">
        <v>233</v>
      </c>
      <c r="C151" s="230"/>
      <c r="D151" s="273"/>
      <c r="E151" s="231" t="s">
        <v>451</v>
      </c>
      <c r="F151" s="231"/>
      <c r="G151" s="231"/>
      <c r="H151" s="231"/>
      <c r="I151" s="231"/>
      <c r="J151" s="231"/>
      <c r="K151" s="239"/>
      <c r="L151" s="240"/>
    </row>
    <row r="152" spans="2:12" ht="7.5" customHeight="1">
      <c r="B152" s="177"/>
      <c r="C152" s="178"/>
      <c r="D152" s="185"/>
      <c r="E152" s="186"/>
      <c r="F152" s="179"/>
      <c r="G152" s="180"/>
      <c r="H152" s="180"/>
      <c r="I152" s="180"/>
      <c r="J152" s="180"/>
      <c r="K152" s="181"/>
      <c r="L152" s="182"/>
    </row>
    <row r="153" spans="2:12" ht="30">
      <c r="B153" s="122" t="s">
        <v>550</v>
      </c>
      <c r="C153" s="283" t="s">
        <v>36</v>
      </c>
      <c r="D153" s="283" t="s">
        <v>452</v>
      </c>
      <c r="E153" s="282" t="s">
        <v>453</v>
      </c>
      <c r="F153" s="90" t="s">
        <v>54</v>
      </c>
      <c r="G153" s="108">
        <f>VLOOKUP('Pl Orçamentária'!B153,'Memorial de Cálculo'!$B$16:$M$723,12,FALSE)</f>
        <v>7.779000000000002</v>
      </c>
      <c r="H153" s="108">
        <v>34.18</v>
      </c>
      <c r="I153" s="108">
        <f>ROUND(H153*($I$15/100+1),2)</f>
        <v>42.7</v>
      </c>
      <c r="J153" s="108">
        <f>ROUND(I153*G153,2)</f>
        <v>332.16</v>
      </c>
      <c r="K153" s="106"/>
      <c r="L153" s="107"/>
    </row>
    <row r="154" spans="2:12" ht="30">
      <c r="B154" s="122" t="s">
        <v>551</v>
      </c>
      <c r="C154" s="283" t="s">
        <v>36</v>
      </c>
      <c r="D154" s="87" t="s">
        <v>454</v>
      </c>
      <c r="E154" s="267" t="s">
        <v>455</v>
      </c>
      <c r="F154" s="97" t="s">
        <v>54</v>
      </c>
      <c r="G154" s="108">
        <f>VLOOKUP('Pl Orçamentária'!B154,'Memorial de Cálculo'!$B$16:$M$723,12,FALSE)</f>
        <v>6.7375</v>
      </c>
      <c r="H154" s="108">
        <v>167.79</v>
      </c>
      <c r="I154" s="108">
        <f>ROUND(H154*($I$15/100+1),2)</f>
        <v>209.62</v>
      </c>
      <c r="J154" s="108">
        <f>ROUND(I154*G154,2)</f>
        <v>1412.31</v>
      </c>
      <c r="K154" s="106"/>
      <c r="L154" s="107"/>
    </row>
    <row r="155" spans="2:12" ht="18" customHeight="1">
      <c r="B155" s="122" t="s">
        <v>552</v>
      </c>
      <c r="C155" s="283" t="s">
        <v>36</v>
      </c>
      <c r="D155" s="283">
        <v>79483</v>
      </c>
      <c r="E155" s="599" t="s">
        <v>456</v>
      </c>
      <c r="F155" s="97" t="s">
        <v>28</v>
      </c>
      <c r="G155" s="108">
        <f>VLOOKUP('Pl Orçamentária'!B155,'Memorial de Cálculo'!$B$16:$M$723,12,FALSE)</f>
        <v>12.670000000000002</v>
      </c>
      <c r="H155" s="108">
        <v>14.64</v>
      </c>
      <c r="I155" s="108">
        <f>ROUND(H155*($I$15/100+1),2)</f>
        <v>18.29</v>
      </c>
      <c r="J155" s="108">
        <f>ROUND(I155*G155,2)</f>
        <v>231.73</v>
      </c>
      <c r="K155" s="106"/>
      <c r="L155" s="107"/>
    </row>
    <row r="156" spans="2:12" ht="18" customHeight="1">
      <c r="B156" s="122" t="s">
        <v>553</v>
      </c>
      <c r="C156" s="283" t="s">
        <v>36</v>
      </c>
      <c r="D156" s="380">
        <v>72897</v>
      </c>
      <c r="E156" s="381" t="s">
        <v>249</v>
      </c>
      <c r="F156" s="97" t="s">
        <v>54</v>
      </c>
      <c r="G156" s="108">
        <f>VLOOKUP('Pl Orçamentária'!B156,'Memorial de Cálculo'!$B$16:$M$723,12,FALSE)</f>
        <v>11.308500000000002</v>
      </c>
      <c r="H156" s="382">
        <v>15.77</v>
      </c>
      <c r="I156" s="108">
        <f>ROUND(H156*($I$15/100+1),2)</f>
        <v>19.7</v>
      </c>
      <c r="J156" s="108">
        <f>ROUND(I156*G156,2)</f>
        <v>222.78</v>
      </c>
      <c r="K156" s="106"/>
      <c r="L156" s="107"/>
    </row>
    <row r="157" spans="2:12" ht="30">
      <c r="B157" s="122" t="s">
        <v>554</v>
      </c>
      <c r="C157" s="283" t="s">
        <v>36</v>
      </c>
      <c r="D157" s="380">
        <v>72881</v>
      </c>
      <c r="E157" s="381" t="s">
        <v>250</v>
      </c>
      <c r="F157" s="97" t="s">
        <v>251</v>
      </c>
      <c r="G157" s="108">
        <f>VLOOKUP('Pl Orçamentária'!B157,'Memorial de Cálculo'!$B$16:$M$723,12,FALSE)</f>
        <v>56.54250000000001</v>
      </c>
      <c r="H157" s="382">
        <v>1.2</v>
      </c>
      <c r="I157" s="108">
        <f>ROUND(H157*($I$15/100+1),2)</f>
        <v>1.5</v>
      </c>
      <c r="J157" s="108">
        <f>ROUND(I157*G157,2)</f>
        <v>84.81</v>
      </c>
      <c r="K157" s="106"/>
      <c r="L157" s="107"/>
    </row>
    <row r="158" spans="2:12" ht="7.5" customHeight="1">
      <c r="B158" s="177"/>
      <c r="C158" s="178"/>
      <c r="D158" s="185"/>
      <c r="E158" s="186"/>
      <c r="F158" s="179"/>
      <c r="G158" s="180"/>
      <c r="H158" s="180"/>
      <c r="I158" s="180"/>
      <c r="J158" s="180"/>
      <c r="K158" s="181"/>
      <c r="L158" s="182"/>
    </row>
    <row r="159" spans="2:12" ht="22.5" customHeight="1">
      <c r="B159" s="232" t="s">
        <v>352</v>
      </c>
      <c r="C159" s="230"/>
      <c r="D159" s="273"/>
      <c r="E159" s="231" t="s">
        <v>457</v>
      </c>
      <c r="F159" s="231"/>
      <c r="G159" s="231"/>
      <c r="H159" s="231"/>
      <c r="I159" s="231"/>
      <c r="J159" s="231"/>
      <c r="K159" s="239"/>
      <c r="L159" s="240"/>
    </row>
    <row r="160" spans="2:12" ht="7.5" customHeight="1">
      <c r="B160" s="177"/>
      <c r="C160" s="178"/>
      <c r="D160" s="185"/>
      <c r="E160" s="186"/>
      <c r="F160" s="179"/>
      <c r="G160" s="180"/>
      <c r="H160" s="180"/>
      <c r="I160" s="180"/>
      <c r="J160" s="180"/>
      <c r="K160" s="181"/>
      <c r="L160" s="182"/>
    </row>
    <row r="161" spans="2:12" ht="30">
      <c r="B161" s="122" t="s">
        <v>555</v>
      </c>
      <c r="C161" s="283" t="s">
        <v>36</v>
      </c>
      <c r="D161" s="90">
        <v>6122</v>
      </c>
      <c r="E161" s="267" t="s">
        <v>458</v>
      </c>
      <c r="F161" s="97" t="s">
        <v>54</v>
      </c>
      <c r="G161" s="108">
        <f>VLOOKUP('Pl Orçamentária'!B161,'Memorial de Cálculo'!$B$16:$M$723,12,FALSE)</f>
        <v>6.483000000000001</v>
      </c>
      <c r="H161" s="382">
        <v>312.31</v>
      </c>
      <c r="I161" s="108">
        <f aca="true" t="shared" si="10" ref="I161:I166">ROUND(H161*($I$15/100+1),2)</f>
        <v>390.17</v>
      </c>
      <c r="J161" s="108">
        <f aca="true" t="shared" si="11" ref="J161:J166">ROUND(I161*G161,2)</f>
        <v>2529.47</v>
      </c>
      <c r="K161" s="106"/>
      <c r="L161" s="107"/>
    </row>
    <row r="162" spans="2:12" ht="30">
      <c r="B162" s="122" t="s">
        <v>556</v>
      </c>
      <c r="C162" s="283" t="s">
        <v>36</v>
      </c>
      <c r="D162" s="90">
        <v>83519</v>
      </c>
      <c r="E162" s="267" t="s">
        <v>459</v>
      </c>
      <c r="F162" s="97" t="s">
        <v>54</v>
      </c>
      <c r="G162" s="108">
        <f>VLOOKUP('Pl Orçamentária'!B162,'Memorial de Cálculo'!$B$16:$M$723,12,FALSE)</f>
        <v>1.907</v>
      </c>
      <c r="H162" s="382">
        <v>332.12</v>
      </c>
      <c r="I162" s="108">
        <f t="shared" si="10"/>
        <v>414.92</v>
      </c>
      <c r="J162" s="108">
        <f t="shared" si="11"/>
        <v>791.25</v>
      </c>
      <c r="K162" s="106"/>
      <c r="L162" s="107"/>
    </row>
    <row r="163" spans="2:12" ht="30">
      <c r="B163" s="122" t="s">
        <v>557</v>
      </c>
      <c r="C163" s="283" t="s">
        <v>36</v>
      </c>
      <c r="D163" s="90">
        <v>73361</v>
      </c>
      <c r="E163" s="267" t="s">
        <v>460</v>
      </c>
      <c r="F163" s="97" t="s">
        <v>54</v>
      </c>
      <c r="G163" s="108">
        <f>VLOOKUP('Pl Orçamentária'!B163,'Memorial de Cálculo'!$B$16:$M$723,12,FALSE)</f>
        <v>1.2959999999999998</v>
      </c>
      <c r="H163" s="382">
        <v>338.41</v>
      </c>
      <c r="I163" s="108">
        <f t="shared" si="10"/>
        <v>422.78</v>
      </c>
      <c r="J163" s="108">
        <f t="shared" si="11"/>
        <v>547.92</v>
      </c>
      <c r="K163" s="106"/>
      <c r="L163" s="107"/>
    </row>
    <row r="164" spans="2:12" ht="18" customHeight="1">
      <c r="B164" s="87" t="s">
        <v>558</v>
      </c>
      <c r="C164" s="90" t="s">
        <v>112</v>
      </c>
      <c r="D164" s="600"/>
      <c r="E164" s="492" t="s">
        <v>461</v>
      </c>
      <c r="F164" s="90" t="s">
        <v>54</v>
      </c>
      <c r="G164" s="91">
        <f>VLOOKUP('Pl Orçamentária'!B164,'Memorial de Cálculo'!$B$16:$M$723,12,FALSE)</f>
        <v>0.537</v>
      </c>
      <c r="H164" s="491">
        <f>'Composições de Custo'!I167</f>
        <v>1533.6599999999999</v>
      </c>
      <c r="I164" s="91">
        <f t="shared" si="10"/>
        <v>1916</v>
      </c>
      <c r="J164" s="91">
        <f t="shared" si="11"/>
        <v>1028.89</v>
      </c>
      <c r="K164" s="94"/>
      <c r="L164" s="93"/>
    </row>
    <row r="165" spans="2:12" ht="30">
      <c r="B165" s="87" t="s">
        <v>559</v>
      </c>
      <c r="C165" s="283" t="s">
        <v>44</v>
      </c>
      <c r="D165" s="87" t="s">
        <v>462</v>
      </c>
      <c r="E165" s="267" t="s">
        <v>463</v>
      </c>
      <c r="F165" s="90" t="s">
        <v>33</v>
      </c>
      <c r="G165" s="91">
        <f>VLOOKUP('Pl Orçamentária'!B165,'Memorial de Cálculo'!$B$16:$M$723,12,FALSE)</f>
        <v>7.16</v>
      </c>
      <c r="H165" s="491">
        <v>11.12</v>
      </c>
      <c r="I165" s="91">
        <f>ROUND(H165*($I$15/100+1),2)</f>
        <v>13.89</v>
      </c>
      <c r="J165" s="91">
        <f t="shared" si="11"/>
        <v>99.45</v>
      </c>
      <c r="K165" s="94"/>
      <c r="L165" s="93"/>
    </row>
    <row r="166" spans="2:12" ht="30">
      <c r="B166" s="87" t="s">
        <v>560</v>
      </c>
      <c r="C166" s="283" t="s">
        <v>36</v>
      </c>
      <c r="D166" s="90">
        <v>83534</v>
      </c>
      <c r="E166" s="267" t="s">
        <v>464</v>
      </c>
      <c r="F166" s="90" t="s">
        <v>54</v>
      </c>
      <c r="G166" s="91">
        <f>VLOOKUP('Pl Orçamentária'!B166,'Memorial de Cálculo'!$B$16:$M$723,12,FALSE)</f>
        <v>0.9345</v>
      </c>
      <c r="H166" s="491">
        <v>398.29</v>
      </c>
      <c r="I166" s="91">
        <f t="shared" si="10"/>
        <v>497.58</v>
      </c>
      <c r="J166" s="91">
        <f t="shared" si="11"/>
        <v>464.99</v>
      </c>
      <c r="K166" s="94"/>
      <c r="L166" s="93"/>
    </row>
    <row r="167" spans="2:12" ht="7.5" customHeight="1">
      <c r="B167" s="177"/>
      <c r="C167" s="178"/>
      <c r="D167" s="185"/>
      <c r="E167" s="186"/>
      <c r="F167" s="179"/>
      <c r="G167" s="180"/>
      <c r="H167" s="180"/>
      <c r="I167" s="180"/>
      <c r="J167" s="180"/>
      <c r="K167" s="181"/>
      <c r="L167" s="182"/>
    </row>
    <row r="168" spans="2:12" ht="22.5" customHeight="1">
      <c r="B168" s="232" t="s">
        <v>353</v>
      </c>
      <c r="C168" s="230"/>
      <c r="D168" s="273"/>
      <c r="E168" s="231" t="s">
        <v>465</v>
      </c>
      <c r="F168" s="231"/>
      <c r="G168" s="231"/>
      <c r="H168" s="231"/>
      <c r="I168" s="231"/>
      <c r="J168" s="231"/>
      <c r="K168" s="239"/>
      <c r="L168" s="240"/>
    </row>
    <row r="169" spans="2:12" ht="7.5" customHeight="1">
      <c r="B169" s="177"/>
      <c r="C169" s="178"/>
      <c r="D169" s="185"/>
      <c r="E169" s="186"/>
      <c r="F169" s="179"/>
      <c r="G169" s="180"/>
      <c r="H169" s="180"/>
      <c r="I169" s="180"/>
      <c r="J169" s="180"/>
      <c r="K169" s="181"/>
      <c r="L169" s="182"/>
    </row>
    <row r="170" spans="2:12" ht="30">
      <c r="B170" s="87" t="s">
        <v>561</v>
      </c>
      <c r="C170" s="90" t="s">
        <v>112</v>
      </c>
      <c r="D170" s="600"/>
      <c r="E170" s="601" t="s">
        <v>466</v>
      </c>
      <c r="F170" s="90" t="s">
        <v>54</v>
      </c>
      <c r="G170" s="91">
        <f>VLOOKUP('Pl Orçamentária'!B170,'Memorial de Cálculo'!$B$16:$M$723,12,FALSE)</f>
        <v>1.8968400000000003</v>
      </c>
      <c r="H170" s="491">
        <f>'Composições de Custo'!I167</f>
        <v>1533.6599999999999</v>
      </c>
      <c r="I170" s="91">
        <f>ROUND(H170*($I$15/100+1),2)</f>
        <v>1916</v>
      </c>
      <c r="J170" s="91">
        <f>ROUND(I170*G170,2)</f>
        <v>3634.35</v>
      </c>
      <c r="K170" s="94"/>
      <c r="L170" s="93"/>
    </row>
    <row r="171" spans="2:12" ht="60">
      <c r="B171" s="87" t="s">
        <v>562</v>
      </c>
      <c r="C171" s="90" t="s">
        <v>36</v>
      </c>
      <c r="D171" s="600" t="s">
        <v>467</v>
      </c>
      <c r="E171" s="601" t="s">
        <v>468</v>
      </c>
      <c r="F171" s="90" t="s">
        <v>33</v>
      </c>
      <c r="G171" s="91">
        <f>VLOOKUP('Pl Orçamentária'!B171,'Memorial de Cálculo'!$B$16:$M$723,12,FALSE)</f>
        <v>15.575000000000001</v>
      </c>
      <c r="H171" s="491">
        <v>54</v>
      </c>
      <c r="I171" s="91">
        <f>ROUND(H171*($I$15/100+1),2)</f>
        <v>67.46</v>
      </c>
      <c r="J171" s="91">
        <f>ROUND(I171*G171,2)</f>
        <v>1050.69</v>
      </c>
      <c r="K171" s="94"/>
      <c r="L171" s="93"/>
    </row>
    <row r="172" spans="2:12" ht="7.5" customHeight="1">
      <c r="B172" s="177"/>
      <c r="C172" s="178"/>
      <c r="D172" s="185"/>
      <c r="E172" s="186"/>
      <c r="F172" s="179"/>
      <c r="G172" s="180"/>
      <c r="H172" s="180"/>
      <c r="I172" s="180"/>
      <c r="J172" s="180"/>
      <c r="K172" s="181"/>
      <c r="L172" s="182"/>
    </row>
    <row r="173" spans="2:12" ht="22.5" customHeight="1">
      <c r="B173" s="232" t="s">
        <v>354</v>
      </c>
      <c r="C173" s="230"/>
      <c r="D173" s="273"/>
      <c r="E173" s="231" t="s">
        <v>469</v>
      </c>
      <c r="F173" s="231"/>
      <c r="G173" s="231"/>
      <c r="H173" s="231"/>
      <c r="I173" s="231"/>
      <c r="J173" s="231"/>
      <c r="K173" s="239"/>
      <c r="L173" s="240"/>
    </row>
    <row r="174" spans="2:12" ht="7.5" customHeight="1">
      <c r="B174" s="177"/>
      <c r="C174" s="178"/>
      <c r="D174" s="185"/>
      <c r="E174" s="186"/>
      <c r="F174" s="179"/>
      <c r="G174" s="180"/>
      <c r="H174" s="180"/>
      <c r="I174" s="180"/>
      <c r="J174" s="180"/>
      <c r="K174" s="181"/>
      <c r="L174" s="182"/>
    </row>
    <row r="175" spans="2:12" ht="45">
      <c r="B175" s="122" t="s">
        <v>563</v>
      </c>
      <c r="C175" s="380" t="s">
        <v>36</v>
      </c>
      <c r="D175" s="122">
        <v>87471</v>
      </c>
      <c r="E175" s="115" t="s">
        <v>470</v>
      </c>
      <c r="F175" s="97" t="s">
        <v>33</v>
      </c>
      <c r="G175" s="108">
        <f>VLOOKUP('Pl Orçamentária'!B175,'Memorial de Cálculo'!$B$16:$M$723,12,FALSE)</f>
        <v>55.0475</v>
      </c>
      <c r="H175" s="149">
        <v>29.24</v>
      </c>
      <c r="I175" s="108">
        <f>ROUND(H175*($I$15/100+1),2)</f>
        <v>36.53</v>
      </c>
      <c r="J175" s="108">
        <f>ROUND(I175*G175,2)</f>
        <v>2010.89</v>
      </c>
      <c r="K175" s="106"/>
      <c r="L175" s="107"/>
    </row>
    <row r="176" spans="2:12" ht="7.5" customHeight="1">
      <c r="B176" s="177"/>
      <c r="C176" s="178"/>
      <c r="D176" s="185"/>
      <c r="E176" s="186"/>
      <c r="F176" s="179"/>
      <c r="G176" s="180"/>
      <c r="H176" s="180"/>
      <c r="I176" s="180"/>
      <c r="J176" s="180"/>
      <c r="K176" s="181"/>
      <c r="L176" s="182"/>
    </row>
    <row r="177" spans="2:12" ht="22.5" customHeight="1">
      <c r="B177" s="232" t="s">
        <v>355</v>
      </c>
      <c r="C177" s="230"/>
      <c r="D177" s="273"/>
      <c r="E177" s="231" t="s">
        <v>247</v>
      </c>
      <c r="F177" s="231"/>
      <c r="G177" s="231"/>
      <c r="H177" s="231"/>
      <c r="I177" s="231"/>
      <c r="J177" s="231"/>
      <c r="K177" s="239"/>
      <c r="L177" s="240"/>
    </row>
    <row r="178" spans="2:12" ht="7.5" customHeight="1">
      <c r="B178" s="177"/>
      <c r="C178" s="178"/>
      <c r="D178" s="185"/>
      <c r="E178" s="186"/>
      <c r="F178" s="179"/>
      <c r="G178" s="180"/>
      <c r="H178" s="180"/>
      <c r="I178" s="180"/>
      <c r="J178" s="180"/>
      <c r="K178" s="181"/>
      <c r="L178" s="182"/>
    </row>
    <row r="179" spans="2:12" ht="18" customHeight="1">
      <c r="B179" s="122" t="s">
        <v>564</v>
      </c>
      <c r="C179" s="380" t="s">
        <v>36</v>
      </c>
      <c r="D179" s="380">
        <v>92580</v>
      </c>
      <c r="E179" s="115" t="s">
        <v>471</v>
      </c>
      <c r="F179" s="97" t="s">
        <v>33</v>
      </c>
      <c r="G179" s="108">
        <f>VLOOKUP('Pl Orçamentária'!B179,'Memorial de Cálculo'!$B$16:$M$723,12,FALSE)</f>
        <v>20.0015</v>
      </c>
      <c r="H179" s="382">
        <v>25.78</v>
      </c>
      <c r="I179" s="108">
        <f>ROUND(H179*($I$15/100+1),2)</f>
        <v>32.21</v>
      </c>
      <c r="J179" s="108">
        <f>ROUND(I179*G179,2)</f>
        <v>644.25</v>
      </c>
      <c r="K179" s="106"/>
      <c r="L179" s="107"/>
    </row>
    <row r="180" spans="2:12" ht="30">
      <c r="B180" s="122" t="s">
        <v>565</v>
      </c>
      <c r="C180" s="380" t="s">
        <v>36</v>
      </c>
      <c r="D180" s="480">
        <v>84040</v>
      </c>
      <c r="E180" s="381" t="s">
        <v>762</v>
      </c>
      <c r="F180" s="97" t="s">
        <v>33</v>
      </c>
      <c r="G180" s="108">
        <f>VLOOKUP('Pl Orçamentária'!B180,'Memorial de Cálculo'!$B$16:$M$723,12,FALSE)</f>
        <v>20.0015</v>
      </c>
      <c r="H180" s="382">
        <v>28.21</v>
      </c>
      <c r="I180" s="108">
        <f>ROUND(H180*($I$15/100+1),2)</f>
        <v>35.24</v>
      </c>
      <c r="J180" s="108">
        <f>ROUND(G180*I180,2)</f>
        <v>704.85</v>
      </c>
      <c r="K180" s="106"/>
      <c r="L180" s="107"/>
    </row>
    <row r="181" spans="2:12" ht="18" customHeight="1">
      <c r="B181" s="122" t="s">
        <v>566</v>
      </c>
      <c r="C181" s="97" t="s">
        <v>472</v>
      </c>
      <c r="D181" s="97" t="s">
        <v>473</v>
      </c>
      <c r="E181" s="115" t="s">
        <v>474</v>
      </c>
      <c r="F181" s="97" t="s">
        <v>28</v>
      </c>
      <c r="G181" s="108">
        <f>VLOOKUP('Pl Orçamentária'!B181,'Memorial de Cálculo'!$B$16:$M$723,12,FALSE)</f>
        <v>4.55</v>
      </c>
      <c r="H181" s="382">
        <v>21.72</v>
      </c>
      <c r="I181" s="108">
        <f>ROUND(H181*($I$15/100+1),2)</f>
        <v>27.13</v>
      </c>
      <c r="J181" s="108">
        <f>ROUND(G181*I181,2)</f>
        <v>123.44</v>
      </c>
      <c r="K181" s="106"/>
      <c r="L181" s="107"/>
    </row>
    <row r="182" spans="2:12" ht="30">
      <c r="B182" s="122" t="s">
        <v>567</v>
      </c>
      <c r="C182" s="97" t="s">
        <v>472</v>
      </c>
      <c r="D182" s="122">
        <v>71623</v>
      </c>
      <c r="E182" s="115" t="s">
        <v>475</v>
      </c>
      <c r="F182" s="97" t="s">
        <v>28</v>
      </c>
      <c r="G182" s="108">
        <f>VLOOKUP('Pl Orçamentária'!B182,'Memorial de Cálculo'!$B$16:$M$723,12,FALSE)</f>
        <v>4.55</v>
      </c>
      <c r="H182" s="149">
        <v>21.14</v>
      </c>
      <c r="I182" s="108">
        <f>ROUND(H182*($I$15/100+1),2)</f>
        <v>26.41</v>
      </c>
      <c r="J182" s="108">
        <f>ROUND(G182*I182,2)</f>
        <v>120.17</v>
      </c>
      <c r="K182" s="106"/>
      <c r="L182" s="107"/>
    </row>
    <row r="183" spans="2:12" ht="7.5" customHeight="1">
      <c r="B183" s="177"/>
      <c r="C183" s="178"/>
      <c r="D183" s="185"/>
      <c r="E183" s="186"/>
      <c r="F183" s="179"/>
      <c r="G183" s="180"/>
      <c r="H183" s="180"/>
      <c r="I183" s="180"/>
      <c r="J183" s="180"/>
      <c r="K183" s="181"/>
      <c r="L183" s="182"/>
    </row>
    <row r="184" spans="2:12" ht="22.5" customHeight="1">
      <c r="B184" s="232" t="s">
        <v>356</v>
      </c>
      <c r="C184" s="230"/>
      <c r="D184" s="273"/>
      <c r="E184" s="231" t="s">
        <v>9</v>
      </c>
      <c r="F184" s="231"/>
      <c r="G184" s="231"/>
      <c r="H184" s="231"/>
      <c r="I184" s="231"/>
      <c r="J184" s="231"/>
      <c r="K184" s="239"/>
      <c r="L184" s="240"/>
    </row>
    <row r="185" spans="2:12" ht="7.5" customHeight="1">
      <c r="B185" s="177"/>
      <c r="C185" s="178"/>
      <c r="D185" s="185"/>
      <c r="E185" s="186"/>
      <c r="F185" s="179"/>
      <c r="G185" s="180"/>
      <c r="H185" s="180"/>
      <c r="I185" s="180"/>
      <c r="J185" s="180"/>
      <c r="K185" s="181"/>
      <c r="L185" s="182"/>
    </row>
    <row r="186" spans="2:12" ht="18" customHeight="1">
      <c r="B186" s="122" t="s">
        <v>568</v>
      </c>
      <c r="C186" s="97" t="s">
        <v>36</v>
      </c>
      <c r="D186" s="480" t="s">
        <v>476</v>
      </c>
      <c r="E186" s="479" t="s">
        <v>477</v>
      </c>
      <c r="F186" s="97" t="s">
        <v>33</v>
      </c>
      <c r="G186" s="108">
        <f>VLOOKUP('Pl Orçamentária'!B186,'Memorial de Cálculo'!$B$16:$M$723,12,FALSE)</f>
        <v>3</v>
      </c>
      <c r="H186" s="108">
        <v>393.55</v>
      </c>
      <c r="I186" s="108">
        <f>ROUND(H186*($I$15/100+1),2)</f>
        <v>491.66</v>
      </c>
      <c r="J186" s="108">
        <f>ROUND(I186*G186,2)</f>
        <v>1474.98</v>
      </c>
      <c r="K186" s="114"/>
      <c r="L186" s="107"/>
    </row>
    <row r="187" spans="2:12" ht="18" customHeight="1">
      <c r="B187" s="122" t="s">
        <v>569</v>
      </c>
      <c r="C187" s="97" t="s">
        <v>36</v>
      </c>
      <c r="D187" s="480" t="s">
        <v>478</v>
      </c>
      <c r="E187" s="481" t="s">
        <v>479</v>
      </c>
      <c r="F187" s="97" t="s">
        <v>33</v>
      </c>
      <c r="G187" s="108">
        <f>VLOOKUP('Pl Orçamentária'!B187,'Memorial de Cálculo'!$B$16:$M$723,12,FALSE)</f>
        <v>3.3600000000000003</v>
      </c>
      <c r="H187" s="382">
        <v>408.16</v>
      </c>
      <c r="I187" s="108">
        <f>ROUND(H187*($I$15/100+1),2)</f>
        <v>509.91</v>
      </c>
      <c r="J187" s="108">
        <f>ROUND(I187*G187,2)</f>
        <v>1713.3</v>
      </c>
      <c r="K187" s="106"/>
      <c r="L187" s="107"/>
    </row>
    <row r="188" spans="2:12" ht="18" customHeight="1">
      <c r="B188" s="122" t="s">
        <v>570</v>
      </c>
      <c r="C188" s="97" t="s">
        <v>44</v>
      </c>
      <c r="D188" s="480" t="s">
        <v>480</v>
      </c>
      <c r="E188" s="479" t="s">
        <v>481</v>
      </c>
      <c r="F188" s="97" t="s">
        <v>33</v>
      </c>
      <c r="G188" s="108">
        <f>VLOOKUP('Pl Orçamentária'!B188,'Memorial de Cálculo'!$B$16:$M$723,12,FALSE)</f>
        <v>0.6</v>
      </c>
      <c r="H188" s="382">
        <v>279.4</v>
      </c>
      <c r="I188" s="108">
        <f>ROUND(H188*($I$15/100+1),2)</f>
        <v>349.05</v>
      </c>
      <c r="J188" s="108">
        <f>ROUND(I188*G188,2)</f>
        <v>209.43</v>
      </c>
      <c r="K188" s="106"/>
      <c r="L188" s="107"/>
    </row>
    <row r="189" spans="2:12" ht="18" customHeight="1">
      <c r="B189" s="122" t="s">
        <v>571</v>
      </c>
      <c r="C189" s="97" t="s">
        <v>36</v>
      </c>
      <c r="D189" s="480">
        <v>72117</v>
      </c>
      <c r="E189" s="479" t="s">
        <v>482</v>
      </c>
      <c r="F189" s="97" t="s">
        <v>33</v>
      </c>
      <c r="G189" s="108">
        <f>VLOOKUP('Pl Orçamentária'!B189,'Memorial de Cálculo'!$B$16:$M$723,12,FALSE)</f>
        <v>0.6</v>
      </c>
      <c r="H189" s="382">
        <v>104.92</v>
      </c>
      <c r="I189" s="108">
        <f>ROUND(H189*($I$15/100+1),2)</f>
        <v>131.08</v>
      </c>
      <c r="J189" s="108">
        <f>ROUND(I189*G189,2)</f>
        <v>78.65</v>
      </c>
      <c r="K189" s="106"/>
      <c r="L189" s="107"/>
    </row>
    <row r="190" spans="2:12" ht="30">
      <c r="B190" s="122" t="s">
        <v>572</v>
      </c>
      <c r="C190" s="97" t="s">
        <v>44</v>
      </c>
      <c r="D190" s="122" t="s">
        <v>483</v>
      </c>
      <c r="E190" s="115" t="s">
        <v>484</v>
      </c>
      <c r="F190" s="97" t="s">
        <v>33</v>
      </c>
      <c r="G190" s="108">
        <f>VLOOKUP('Pl Orçamentária'!B190,'Memorial de Cálculo'!$B$16:$M$723,12,FALSE)</f>
        <v>0.96</v>
      </c>
      <c r="H190" s="108">
        <v>49.28</v>
      </c>
      <c r="I190" s="108">
        <f>ROUND(H190*($I$15/100+1),2)</f>
        <v>61.57</v>
      </c>
      <c r="J190" s="108">
        <f>ROUND(I190*G190,2)</f>
        <v>59.11</v>
      </c>
      <c r="K190" s="106"/>
      <c r="L190" s="107"/>
    </row>
    <row r="191" spans="2:12" ht="7.5" customHeight="1">
      <c r="B191" s="177"/>
      <c r="C191" s="178"/>
      <c r="D191" s="185"/>
      <c r="E191" s="186"/>
      <c r="F191" s="179"/>
      <c r="G191" s="180"/>
      <c r="H191" s="180"/>
      <c r="I191" s="180"/>
      <c r="J191" s="180"/>
      <c r="K191" s="181"/>
      <c r="L191" s="182"/>
    </row>
    <row r="192" spans="2:12" ht="22.5" customHeight="1">
      <c r="B192" s="232" t="s">
        <v>357</v>
      </c>
      <c r="C192" s="230"/>
      <c r="D192" s="273"/>
      <c r="E192" s="231" t="s">
        <v>485</v>
      </c>
      <c r="F192" s="231"/>
      <c r="G192" s="231"/>
      <c r="H192" s="231"/>
      <c r="I192" s="231"/>
      <c r="J192" s="231"/>
      <c r="K192" s="239"/>
      <c r="L192" s="240"/>
    </row>
    <row r="193" spans="2:12" ht="7.5" customHeight="1">
      <c r="B193" s="177"/>
      <c r="C193" s="178"/>
      <c r="D193" s="185"/>
      <c r="E193" s="186"/>
      <c r="F193" s="179"/>
      <c r="G193" s="180"/>
      <c r="H193" s="180"/>
      <c r="I193" s="180"/>
      <c r="J193" s="180"/>
      <c r="K193" s="181"/>
      <c r="L193" s="182"/>
    </row>
    <row r="194" spans="2:12" ht="30">
      <c r="B194" s="122" t="s">
        <v>573</v>
      </c>
      <c r="C194" s="99" t="s">
        <v>44</v>
      </c>
      <c r="D194" s="150" t="s">
        <v>67</v>
      </c>
      <c r="E194" s="228" t="s">
        <v>486</v>
      </c>
      <c r="F194" s="97" t="s">
        <v>32</v>
      </c>
      <c r="G194" s="108">
        <f>VLOOKUP('Pl Orçamentária'!B194,'Memorial de Cálculo'!$B$16:$M$723,12,FALSE)</f>
        <v>2</v>
      </c>
      <c r="H194" s="382">
        <v>137.63</v>
      </c>
      <c r="I194" s="108">
        <f aca="true" t="shared" si="12" ref="I194:I200">ROUND(H194*($I$15/100+1),2)</f>
        <v>171.94</v>
      </c>
      <c r="J194" s="108">
        <f aca="true" t="shared" si="13" ref="J194:J200">ROUND(I194*G194,2)</f>
        <v>343.88</v>
      </c>
      <c r="K194" s="106"/>
      <c r="L194" s="107"/>
    </row>
    <row r="195" spans="2:12" ht="30">
      <c r="B195" s="122" t="s">
        <v>574</v>
      </c>
      <c r="C195" s="97" t="s">
        <v>36</v>
      </c>
      <c r="D195" s="480">
        <v>89800</v>
      </c>
      <c r="E195" s="381" t="s">
        <v>487</v>
      </c>
      <c r="F195" s="97" t="s">
        <v>28</v>
      </c>
      <c r="G195" s="108">
        <f>VLOOKUP('Pl Orçamentária'!B195,'Memorial de Cálculo'!$B$16:$M$723,12,FALSE)</f>
        <v>12</v>
      </c>
      <c r="H195" s="382">
        <v>12.08</v>
      </c>
      <c r="I195" s="108">
        <f t="shared" si="12"/>
        <v>15.09</v>
      </c>
      <c r="J195" s="108">
        <f t="shared" si="13"/>
        <v>181.08</v>
      </c>
      <c r="K195" s="106"/>
      <c r="L195" s="107"/>
    </row>
    <row r="196" spans="2:12" ht="30">
      <c r="B196" s="122" t="s">
        <v>575</v>
      </c>
      <c r="C196" s="99" t="s">
        <v>36</v>
      </c>
      <c r="D196" s="99" t="s">
        <v>46</v>
      </c>
      <c r="E196" s="228" t="s">
        <v>45</v>
      </c>
      <c r="F196" s="97" t="s">
        <v>0</v>
      </c>
      <c r="G196" s="108">
        <f>VLOOKUP('Pl Orçamentária'!B196,'Memorial de Cálculo'!$B$16:$M$723,12,FALSE)</f>
        <v>1</v>
      </c>
      <c r="H196" s="382">
        <v>160.6</v>
      </c>
      <c r="I196" s="108">
        <f t="shared" si="12"/>
        <v>200.64</v>
      </c>
      <c r="J196" s="108">
        <f t="shared" si="13"/>
        <v>200.64</v>
      </c>
      <c r="K196" s="106"/>
      <c r="L196" s="107"/>
    </row>
    <row r="197" spans="2:12" ht="30">
      <c r="B197" s="122" t="s">
        <v>576</v>
      </c>
      <c r="C197" s="97" t="s">
        <v>36</v>
      </c>
      <c r="D197" s="480">
        <v>83626</v>
      </c>
      <c r="E197" s="381" t="s">
        <v>488</v>
      </c>
      <c r="F197" s="97" t="s">
        <v>0</v>
      </c>
      <c r="G197" s="108">
        <f>VLOOKUP('Pl Orçamentária'!B197,'Memorial de Cálculo'!$B$16:$M$723,12,FALSE)</f>
        <v>4</v>
      </c>
      <c r="H197" s="382">
        <v>110.39</v>
      </c>
      <c r="I197" s="108">
        <f t="shared" si="12"/>
        <v>137.91</v>
      </c>
      <c r="J197" s="108">
        <f t="shared" si="13"/>
        <v>551.64</v>
      </c>
      <c r="K197" s="106"/>
      <c r="L197" s="107"/>
    </row>
    <row r="198" spans="2:12" ht="30">
      <c r="B198" s="122" t="s">
        <v>577</v>
      </c>
      <c r="C198" s="99" t="s">
        <v>44</v>
      </c>
      <c r="D198" s="150" t="s">
        <v>66</v>
      </c>
      <c r="E198" s="228" t="s">
        <v>65</v>
      </c>
      <c r="F198" s="97" t="s">
        <v>32</v>
      </c>
      <c r="G198" s="108">
        <f>VLOOKUP('Pl Orçamentária'!B198,'Memorial de Cálculo'!$B$16:$M$723,12,FALSE)</f>
        <v>3</v>
      </c>
      <c r="H198" s="105">
        <v>61.08</v>
      </c>
      <c r="I198" s="108">
        <f t="shared" si="12"/>
        <v>76.31</v>
      </c>
      <c r="J198" s="108">
        <f t="shared" si="13"/>
        <v>228.93</v>
      </c>
      <c r="K198" s="106"/>
      <c r="L198" s="107"/>
    </row>
    <row r="199" spans="2:12" ht="30">
      <c r="B199" s="122" t="s">
        <v>578</v>
      </c>
      <c r="C199" s="97" t="s">
        <v>36</v>
      </c>
      <c r="D199" s="480">
        <v>86914</v>
      </c>
      <c r="E199" s="381" t="s">
        <v>334</v>
      </c>
      <c r="F199" s="97" t="s">
        <v>0</v>
      </c>
      <c r="G199" s="108">
        <f>VLOOKUP('Pl Orçamentária'!B199,'Memorial de Cálculo'!$B$16:$M$723,12,FALSE)</f>
        <v>3</v>
      </c>
      <c r="H199" s="382">
        <v>30.05</v>
      </c>
      <c r="I199" s="108">
        <f t="shared" si="12"/>
        <v>37.54</v>
      </c>
      <c r="J199" s="108">
        <f t="shared" si="13"/>
        <v>112.62</v>
      </c>
      <c r="K199" s="106"/>
      <c r="L199" s="107"/>
    </row>
    <row r="200" spans="2:12" ht="30">
      <c r="B200" s="122" t="s">
        <v>579</v>
      </c>
      <c r="C200" s="99" t="s">
        <v>36</v>
      </c>
      <c r="D200" s="99">
        <v>73663</v>
      </c>
      <c r="E200" s="228" t="s">
        <v>153</v>
      </c>
      <c r="F200" s="97" t="s">
        <v>0</v>
      </c>
      <c r="G200" s="108">
        <f>VLOOKUP('Pl Orçamentária'!B200,'Memorial de Cálculo'!$B$16:$M$723,12,FALSE)</f>
        <v>1</v>
      </c>
      <c r="H200" s="105">
        <v>79.84</v>
      </c>
      <c r="I200" s="108">
        <f t="shared" si="12"/>
        <v>99.74</v>
      </c>
      <c r="J200" s="108">
        <f t="shared" si="13"/>
        <v>99.74</v>
      </c>
      <c r="K200" s="106"/>
      <c r="L200" s="107"/>
    </row>
    <row r="201" spans="2:12" ht="7.5" customHeight="1">
      <c r="B201" s="177"/>
      <c r="C201" s="178"/>
      <c r="D201" s="185"/>
      <c r="E201" s="186"/>
      <c r="F201" s="179"/>
      <c r="G201" s="180"/>
      <c r="H201" s="180"/>
      <c r="I201" s="180"/>
      <c r="J201" s="180"/>
      <c r="K201" s="181"/>
      <c r="L201" s="182"/>
    </row>
    <row r="202" spans="2:12" ht="22.5" customHeight="1">
      <c r="B202" s="232" t="s">
        <v>358</v>
      </c>
      <c r="C202" s="230"/>
      <c r="D202" s="273"/>
      <c r="E202" s="231" t="s">
        <v>489</v>
      </c>
      <c r="F202" s="231"/>
      <c r="G202" s="231"/>
      <c r="H202" s="231"/>
      <c r="I202" s="231"/>
      <c r="J202" s="231"/>
      <c r="K202" s="239"/>
      <c r="L202" s="240"/>
    </row>
    <row r="203" spans="2:12" ht="7.5" customHeight="1">
      <c r="B203" s="177"/>
      <c r="C203" s="178"/>
      <c r="D203" s="185"/>
      <c r="E203" s="186"/>
      <c r="F203" s="179"/>
      <c r="G203" s="180"/>
      <c r="H203" s="180"/>
      <c r="I203" s="180"/>
      <c r="J203" s="180"/>
      <c r="K203" s="181"/>
      <c r="L203" s="182"/>
    </row>
    <row r="204" spans="2:12" ht="30">
      <c r="B204" s="122" t="s">
        <v>580</v>
      </c>
      <c r="C204" s="97" t="s">
        <v>44</v>
      </c>
      <c r="D204" s="150" t="s">
        <v>490</v>
      </c>
      <c r="E204" s="216" t="s">
        <v>491</v>
      </c>
      <c r="F204" s="97" t="s">
        <v>0</v>
      </c>
      <c r="G204" s="108">
        <f>VLOOKUP('Pl Orçamentária'!B204,'Memorial de Cálculo'!$B$16:$M$723,12,FALSE)</f>
        <v>3</v>
      </c>
      <c r="H204" s="382">
        <v>125.32</v>
      </c>
      <c r="I204" s="108">
        <f>ROUND(H204*($I$15/100+1),2)</f>
        <v>156.56</v>
      </c>
      <c r="J204" s="108">
        <f>ROUND(I204*G204,2)</f>
        <v>469.68</v>
      </c>
      <c r="K204" s="106"/>
      <c r="L204" s="107"/>
    </row>
    <row r="205" spans="2:12" ht="30">
      <c r="B205" s="122" t="s">
        <v>581</v>
      </c>
      <c r="C205" s="97" t="s">
        <v>44</v>
      </c>
      <c r="D205" s="150" t="s">
        <v>62</v>
      </c>
      <c r="E205" s="216" t="s">
        <v>61</v>
      </c>
      <c r="F205" s="97" t="s">
        <v>492</v>
      </c>
      <c r="G205" s="108">
        <f>VLOOKUP('Pl Orçamentária'!B205,'Memorial de Cálculo'!$B$16:$M$723,12,FALSE)</f>
        <v>3</v>
      </c>
      <c r="H205" s="269">
        <v>140</v>
      </c>
      <c r="I205" s="108">
        <f>ROUND(H205*($I$15/100+1),2)</f>
        <v>174.9</v>
      </c>
      <c r="J205" s="108">
        <f>ROUND(I205*G205,2)</f>
        <v>524.7</v>
      </c>
      <c r="K205" s="106"/>
      <c r="L205" s="107"/>
    </row>
    <row r="206" spans="2:12" ht="45">
      <c r="B206" s="122" t="s">
        <v>582</v>
      </c>
      <c r="C206" s="97" t="s">
        <v>44</v>
      </c>
      <c r="D206" s="150" t="s">
        <v>64</v>
      </c>
      <c r="E206" s="216" t="s">
        <v>63</v>
      </c>
      <c r="F206" s="97" t="s">
        <v>492</v>
      </c>
      <c r="G206" s="108">
        <f>VLOOKUP('Pl Orçamentária'!B206,'Memorial de Cálculo'!$B$16:$M$723,12,FALSE)</f>
        <v>1</v>
      </c>
      <c r="H206" s="436">
        <v>134.84</v>
      </c>
      <c r="I206" s="108">
        <f>ROUND(H206*($I$15/100+1),2)</f>
        <v>168.46</v>
      </c>
      <c r="J206" s="108">
        <f>ROUND(I206*G206,2)</f>
        <v>168.46</v>
      </c>
      <c r="K206" s="106"/>
      <c r="L206" s="107"/>
    </row>
    <row r="207" spans="2:12" ht="30">
      <c r="B207" s="122" t="s">
        <v>583</v>
      </c>
      <c r="C207" s="97" t="s">
        <v>36</v>
      </c>
      <c r="D207" s="480">
        <v>91930</v>
      </c>
      <c r="E207" s="481" t="s">
        <v>493</v>
      </c>
      <c r="F207" s="97" t="s">
        <v>28</v>
      </c>
      <c r="G207" s="108">
        <f>VLOOKUP('Pl Orçamentária'!B207,'Memorial de Cálculo'!$B$16:$M$723,12,FALSE)</f>
        <v>85.56</v>
      </c>
      <c r="H207" s="382">
        <v>6.39</v>
      </c>
      <c r="I207" s="108">
        <f>ROUND(H207*($I$15/100+1),2)</f>
        <v>7.98</v>
      </c>
      <c r="J207" s="108">
        <f>ROUND(I207*G207,2)</f>
        <v>682.77</v>
      </c>
      <c r="K207" s="106"/>
      <c r="L207" s="107"/>
    </row>
    <row r="208" spans="2:12" ht="45">
      <c r="B208" s="122" t="s">
        <v>584</v>
      </c>
      <c r="C208" s="97" t="s">
        <v>36</v>
      </c>
      <c r="D208" s="480" t="s">
        <v>494</v>
      </c>
      <c r="E208" s="481" t="s">
        <v>495</v>
      </c>
      <c r="F208" s="97" t="s">
        <v>0</v>
      </c>
      <c r="G208" s="108">
        <f>VLOOKUP('Pl Orçamentária'!B208,'Memorial de Cálculo'!$B$16:$M$723,12,FALSE)</f>
        <v>3</v>
      </c>
      <c r="H208" s="382">
        <v>83.66</v>
      </c>
      <c r="I208" s="108">
        <f>ROUND(H208*($I$15/100+1),2)</f>
        <v>104.52</v>
      </c>
      <c r="J208" s="108">
        <f>ROUND(I208*G208,2)</f>
        <v>313.56</v>
      </c>
      <c r="K208" s="106"/>
      <c r="L208" s="107"/>
    </row>
    <row r="209" spans="2:12" ht="7.5" customHeight="1">
      <c r="B209" s="177"/>
      <c r="C209" s="178"/>
      <c r="D209" s="185"/>
      <c r="E209" s="186"/>
      <c r="F209" s="179"/>
      <c r="G209" s="180"/>
      <c r="H209" s="180"/>
      <c r="I209" s="180"/>
      <c r="J209" s="180"/>
      <c r="K209" s="181"/>
      <c r="L209" s="182"/>
    </row>
    <row r="210" spans="2:12" ht="22.5" customHeight="1">
      <c r="B210" s="232" t="s">
        <v>438</v>
      </c>
      <c r="C210" s="230"/>
      <c r="D210" s="273"/>
      <c r="E210" s="231" t="s">
        <v>10</v>
      </c>
      <c r="F210" s="231"/>
      <c r="G210" s="231"/>
      <c r="H210" s="231"/>
      <c r="I210" s="231"/>
      <c r="J210" s="231"/>
      <c r="K210" s="239"/>
      <c r="L210" s="240"/>
    </row>
    <row r="211" spans="2:12" ht="7.5" customHeight="1">
      <c r="B211" s="177"/>
      <c r="C211" s="178"/>
      <c r="D211" s="185"/>
      <c r="E211" s="186"/>
      <c r="F211" s="179"/>
      <c r="G211" s="180"/>
      <c r="H211" s="180"/>
      <c r="I211" s="180"/>
      <c r="J211" s="180"/>
      <c r="K211" s="181"/>
      <c r="L211" s="182"/>
    </row>
    <row r="212" spans="2:12" ht="38.25" customHeight="1">
      <c r="B212" s="122" t="s">
        <v>585</v>
      </c>
      <c r="C212" s="95" t="s">
        <v>36</v>
      </c>
      <c r="D212" s="90">
        <v>87878</v>
      </c>
      <c r="E212" s="267" t="s">
        <v>245</v>
      </c>
      <c r="F212" s="97" t="s">
        <v>33</v>
      </c>
      <c r="G212" s="108">
        <f>VLOOKUP('Pl Orçamentária'!B212,'Memorial de Cálculo'!$B$16:$M$723,12,FALSE)</f>
        <v>96.32749999999999</v>
      </c>
      <c r="H212" s="491">
        <v>2.63</v>
      </c>
      <c r="I212" s="108">
        <f aca="true" t="shared" si="14" ref="I212:I217">ROUND(H212*($I$15/100+1),2)</f>
        <v>3.29</v>
      </c>
      <c r="J212" s="108">
        <f aca="true" t="shared" si="15" ref="J212:J217">ROUND(I212*G212,2)</f>
        <v>316.92</v>
      </c>
      <c r="K212" s="106"/>
      <c r="L212" s="107"/>
    </row>
    <row r="213" spans="2:12" ht="35.25" customHeight="1">
      <c r="B213" s="122" t="s">
        <v>586</v>
      </c>
      <c r="C213" s="90" t="s">
        <v>36</v>
      </c>
      <c r="D213" s="90">
        <v>87792</v>
      </c>
      <c r="E213" s="267" t="s">
        <v>89</v>
      </c>
      <c r="F213" s="97" t="s">
        <v>33</v>
      </c>
      <c r="G213" s="108">
        <f>VLOOKUP('Pl Orçamentária'!B213,'Memorial de Cálculo'!$B$16:$M$723,12,FALSE)</f>
        <v>51.527499999999996</v>
      </c>
      <c r="H213" s="491">
        <v>18.64</v>
      </c>
      <c r="I213" s="108">
        <f t="shared" si="14"/>
        <v>23.29</v>
      </c>
      <c r="J213" s="108">
        <f t="shared" si="15"/>
        <v>1200.08</v>
      </c>
      <c r="K213" s="106"/>
      <c r="L213" s="107"/>
    </row>
    <row r="214" spans="2:12" ht="40.5" customHeight="1">
      <c r="B214" s="122" t="s">
        <v>587</v>
      </c>
      <c r="C214" s="97" t="s">
        <v>36</v>
      </c>
      <c r="D214" s="97">
        <v>87535</v>
      </c>
      <c r="E214" s="115" t="s">
        <v>246</v>
      </c>
      <c r="F214" s="97" t="s">
        <v>33</v>
      </c>
      <c r="G214" s="108">
        <f>VLOOKUP('Pl Orçamentária'!B214,'Memorial de Cálculo'!$B$16:$M$723,12,FALSE)</f>
        <v>44.8</v>
      </c>
      <c r="H214" s="382">
        <v>15.46</v>
      </c>
      <c r="I214" s="108">
        <f t="shared" si="14"/>
        <v>19.31</v>
      </c>
      <c r="J214" s="108">
        <f t="shared" si="15"/>
        <v>865.09</v>
      </c>
      <c r="K214" s="106"/>
      <c r="L214" s="107"/>
    </row>
    <row r="215" spans="2:12" ht="24" customHeight="1">
      <c r="B215" s="122" t="s">
        <v>588</v>
      </c>
      <c r="C215" s="97" t="s">
        <v>36</v>
      </c>
      <c r="D215" s="480">
        <v>87266</v>
      </c>
      <c r="E215" s="481" t="s">
        <v>496</v>
      </c>
      <c r="F215" s="97" t="s">
        <v>33</v>
      </c>
      <c r="G215" s="108">
        <f>VLOOKUP('Pl Orçamentária'!B215,'Memorial de Cálculo'!$B$16:$M$723,12,FALSE)</f>
        <v>44.8</v>
      </c>
      <c r="H215" s="382">
        <v>35.54</v>
      </c>
      <c r="I215" s="108">
        <f t="shared" si="14"/>
        <v>44.4</v>
      </c>
      <c r="J215" s="108">
        <f t="shared" si="15"/>
        <v>1989.12</v>
      </c>
      <c r="K215" s="106"/>
      <c r="L215" s="107"/>
    </row>
    <row r="216" spans="2:12" ht="39" customHeight="1">
      <c r="B216" s="122" t="s">
        <v>589</v>
      </c>
      <c r="C216" s="110" t="s">
        <v>36</v>
      </c>
      <c r="D216" s="97">
        <v>87881</v>
      </c>
      <c r="E216" s="115" t="s">
        <v>497</v>
      </c>
      <c r="F216" s="90" t="s">
        <v>33</v>
      </c>
      <c r="G216" s="108">
        <f>VLOOKUP('Pl Orçamentária'!B216,'Memorial de Cálculo'!$B$16:$M$723,12,FALSE)</f>
        <v>13.34</v>
      </c>
      <c r="H216" s="382">
        <v>3.12</v>
      </c>
      <c r="I216" s="108">
        <f t="shared" si="14"/>
        <v>3.9</v>
      </c>
      <c r="J216" s="108">
        <f t="shared" si="15"/>
        <v>52.03</v>
      </c>
      <c r="K216" s="106"/>
      <c r="L216" s="107"/>
    </row>
    <row r="217" spans="2:12" ht="37.5" customHeight="1">
      <c r="B217" s="122" t="s">
        <v>590</v>
      </c>
      <c r="C217" s="110" t="s">
        <v>36</v>
      </c>
      <c r="D217" s="97">
        <v>90406</v>
      </c>
      <c r="E217" s="115" t="s">
        <v>498</v>
      </c>
      <c r="F217" s="90" t="s">
        <v>33</v>
      </c>
      <c r="G217" s="108">
        <f>VLOOKUP('Pl Orçamentária'!B217,'Memorial de Cálculo'!$B$16:$M$723,12,FALSE)</f>
        <v>13.34</v>
      </c>
      <c r="H217" s="382">
        <v>23.02</v>
      </c>
      <c r="I217" s="108">
        <f t="shared" si="14"/>
        <v>28.76</v>
      </c>
      <c r="J217" s="108">
        <f t="shared" si="15"/>
        <v>383.66</v>
      </c>
      <c r="K217" s="106"/>
      <c r="L217" s="107"/>
    </row>
    <row r="218" spans="2:12" ht="7.5" customHeight="1">
      <c r="B218" s="177"/>
      <c r="C218" s="178"/>
      <c r="D218" s="185"/>
      <c r="E218" s="186"/>
      <c r="F218" s="179"/>
      <c r="G218" s="180"/>
      <c r="H218" s="180"/>
      <c r="I218" s="180"/>
      <c r="J218" s="180"/>
      <c r="K218" s="181"/>
      <c r="L218" s="182"/>
    </row>
    <row r="219" spans="2:12" ht="22.5" customHeight="1">
      <c r="B219" s="232" t="s">
        <v>439</v>
      </c>
      <c r="C219" s="230"/>
      <c r="D219" s="273"/>
      <c r="E219" s="231" t="s">
        <v>8</v>
      </c>
      <c r="F219" s="231"/>
      <c r="G219" s="231"/>
      <c r="H219" s="231"/>
      <c r="I219" s="231"/>
      <c r="J219" s="231"/>
      <c r="K219" s="239"/>
      <c r="L219" s="240"/>
    </row>
    <row r="220" spans="2:12" ht="7.5" customHeight="1">
      <c r="B220" s="177"/>
      <c r="C220" s="178"/>
      <c r="D220" s="185"/>
      <c r="E220" s="186"/>
      <c r="F220" s="179"/>
      <c r="G220" s="180"/>
      <c r="H220" s="180"/>
      <c r="I220" s="180"/>
      <c r="J220" s="180"/>
      <c r="K220" s="181"/>
      <c r="L220" s="182"/>
    </row>
    <row r="221" spans="2:12" ht="30">
      <c r="B221" s="122" t="s">
        <v>591</v>
      </c>
      <c r="C221" s="217" t="s">
        <v>44</v>
      </c>
      <c r="D221" s="270" t="s">
        <v>346</v>
      </c>
      <c r="E221" s="244" t="s">
        <v>347</v>
      </c>
      <c r="F221" s="97" t="s">
        <v>33</v>
      </c>
      <c r="G221" s="108">
        <f>VLOOKUP('Pl Orçamentária'!B221,'Memorial de Cálculo'!$B$16:$M$723,12,FALSE)</f>
        <v>13.34</v>
      </c>
      <c r="H221" s="245">
        <v>15.08</v>
      </c>
      <c r="I221" s="108">
        <f>ROUND(H221*($I$15/100+1),2)</f>
        <v>18.84</v>
      </c>
      <c r="J221" s="108">
        <f>ROUND(I221*G221,2)</f>
        <v>251.33</v>
      </c>
      <c r="K221" s="106"/>
      <c r="L221" s="107"/>
    </row>
    <row r="222" spans="2:12" ht="39.75" customHeight="1">
      <c r="B222" s="122" t="s">
        <v>592</v>
      </c>
      <c r="C222" s="97" t="s">
        <v>36</v>
      </c>
      <c r="D222" s="480">
        <v>87249</v>
      </c>
      <c r="E222" s="481" t="s">
        <v>348</v>
      </c>
      <c r="F222" s="97" t="s">
        <v>33</v>
      </c>
      <c r="G222" s="108">
        <f>VLOOKUP('Pl Orçamentária'!B222,'Memorial de Cálculo'!$B$16:$M$723,12,FALSE)</f>
        <v>16.4075</v>
      </c>
      <c r="H222" s="382">
        <v>41.21</v>
      </c>
      <c r="I222" s="108">
        <f>ROUND(H222*($I$15/100+1),2)</f>
        <v>51.48</v>
      </c>
      <c r="J222" s="108">
        <f>ROUND(I222*G222,2)</f>
        <v>844.66</v>
      </c>
      <c r="K222" s="106"/>
      <c r="L222" s="107"/>
    </row>
    <row r="223" spans="2:12" ht="73.5" customHeight="1">
      <c r="B223" s="122" t="s">
        <v>593</v>
      </c>
      <c r="C223" s="217" t="s">
        <v>36</v>
      </c>
      <c r="D223" s="217" t="s">
        <v>499</v>
      </c>
      <c r="E223" s="244" t="s">
        <v>500</v>
      </c>
      <c r="F223" s="97" t="s">
        <v>33</v>
      </c>
      <c r="G223" s="108">
        <f>VLOOKUP('Pl Orçamentária'!B223,'Memorial de Cálculo'!$B$16:$M$723,12,FALSE)</f>
        <v>10.4505</v>
      </c>
      <c r="H223" s="382">
        <v>31.61</v>
      </c>
      <c r="I223" s="108">
        <f>ROUND(H223*($I$15/100+1),2)</f>
        <v>39.49</v>
      </c>
      <c r="J223" s="108">
        <f>ROUND(I223*G223,2)</f>
        <v>412.69</v>
      </c>
      <c r="K223" s="106"/>
      <c r="L223" s="107"/>
    </row>
    <row r="224" spans="2:12" ht="7.5" customHeight="1">
      <c r="B224" s="177"/>
      <c r="C224" s="178"/>
      <c r="D224" s="185"/>
      <c r="E224" s="186"/>
      <c r="F224" s="179"/>
      <c r="G224" s="180"/>
      <c r="H224" s="180"/>
      <c r="I224" s="180"/>
      <c r="J224" s="180"/>
      <c r="K224" s="181"/>
      <c r="L224" s="182"/>
    </row>
    <row r="225" spans="2:12" ht="22.5" customHeight="1">
      <c r="B225" s="232" t="s">
        <v>594</v>
      </c>
      <c r="C225" s="230"/>
      <c r="D225" s="273"/>
      <c r="E225" s="231" t="s">
        <v>11</v>
      </c>
      <c r="F225" s="231"/>
      <c r="G225" s="231"/>
      <c r="H225" s="231"/>
      <c r="I225" s="231"/>
      <c r="J225" s="231"/>
      <c r="K225" s="239"/>
      <c r="L225" s="240"/>
    </row>
    <row r="226" spans="2:12" ht="7.5" customHeight="1">
      <c r="B226" s="177"/>
      <c r="C226" s="178"/>
      <c r="D226" s="185"/>
      <c r="E226" s="186"/>
      <c r="F226" s="179"/>
      <c r="G226" s="180"/>
      <c r="H226" s="180"/>
      <c r="I226" s="180"/>
      <c r="J226" s="180"/>
      <c r="K226" s="181"/>
      <c r="L226" s="182"/>
    </row>
    <row r="227" spans="2:12" ht="31.5" customHeight="1">
      <c r="B227" s="122" t="s">
        <v>595</v>
      </c>
      <c r="C227" s="111" t="s">
        <v>36</v>
      </c>
      <c r="D227" s="111">
        <v>88414</v>
      </c>
      <c r="E227" s="156" t="s">
        <v>349</v>
      </c>
      <c r="F227" s="90" t="s">
        <v>33</v>
      </c>
      <c r="G227" s="108">
        <f>VLOOKUP('Pl Orçamentária'!B227,'Memorial de Cálculo'!$B$16:$M$723,12,FALSE)</f>
        <v>96.32749999999999</v>
      </c>
      <c r="H227" s="518">
        <v>2.42</v>
      </c>
      <c r="I227" s="108">
        <f aca="true" t="shared" si="16" ref="I227:I232">ROUND(H227*($I$15/100+1),2)</f>
        <v>3.02</v>
      </c>
      <c r="J227" s="108">
        <f aca="true" t="shared" si="17" ref="J227:J232">ROUND(I227*G227,2)</f>
        <v>290.91</v>
      </c>
      <c r="K227" s="114"/>
      <c r="L227" s="107"/>
    </row>
    <row r="228" spans="2:12" ht="42.75" customHeight="1">
      <c r="B228" s="122" t="s">
        <v>596</v>
      </c>
      <c r="C228" s="110" t="s">
        <v>36</v>
      </c>
      <c r="D228" s="380">
        <v>88431</v>
      </c>
      <c r="E228" s="381" t="s">
        <v>272</v>
      </c>
      <c r="F228" s="90" t="s">
        <v>33</v>
      </c>
      <c r="G228" s="108">
        <f>VLOOKUP('Pl Orçamentária'!B228,'Memorial de Cálculo'!$B$16:$M$723,12,FALSE)</f>
        <v>96.32749999999999</v>
      </c>
      <c r="H228" s="491">
        <v>13.8</v>
      </c>
      <c r="I228" s="108">
        <f t="shared" si="16"/>
        <v>17.24</v>
      </c>
      <c r="J228" s="108">
        <f t="shared" si="17"/>
        <v>1660.69</v>
      </c>
      <c r="K228" s="114"/>
      <c r="L228" s="107"/>
    </row>
    <row r="229" spans="2:12" ht="30">
      <c r="B229" s="122" t="s">
        <v>597</v>
      </c>
      <c r="C229" s="110" t="s">
        <v>36</v>
      </c>
      <c r="D229" s="380">
        <v>88482</v>
      </c>
      <c r="E229" s="381" t="s">
        <v>501</v>
      </c>
      <c r="F229" s="90" t="s">
        <v>33</v>
      </c>
      <c r="G229" s="108">
        <f>VLOOKUP('Pl Orçamentária'!B229,'Memorial de Cálculo'!$B$16:$M$723,12,FALSE)</f>
        <v>13.34</v>
      </c>
      <c r="H229" s="491">
        <v>1.55</v>
      </c>
      <c r="I229" s="108">
        <f t="shared" si="16"/>
        <v>1.94</v>
      </c>
      <c r="J229" s="108">
        <f t="shared" si="17"/>
        <v>25.88</v>
      </c>
      <c r="K229" s="114"/>
      <c r="L229" s="107"/>
    </row>
    <row r="230" spans="2:12" ht="29.25" customHeight="1">
      <c r="B230" s="122" t="s">
        <v>598</v>
      </c>
      <c r="C230" s="110" t="s">
        <v>36</v>
      </c>
      <c r="D230" s="380">
        <v>88496</v>
      </c>
      <c r="E230" s="282" t="s">
        <v>158</v>
      </c>
      <c r="F230" s="90" t="s">
        <v>33</v>
      </c>
      <c r="G230" s="108">
        <f>VLOOKUP('Pl Orçamentária'!B230,'Memorial de Cálculo'!$B$16:$M$723,12,FALSE)</f>
        <v>13.34</v>
      </c>
      <c r="H230" s="491">
        <v>14.54</v>
      </c>
      <c r="I230" s="108">
        <f t="shared" si="16"/>
        <v>18.16</v>
      </c>
      <c r="J230" s="108">
        <f t="shared" si="17"/>
        <v>242.25</v>
      </c>
      <c r="K230" s="106"/>
      <c r="L230" s="107"/>
    </row>
    <row r="231" spans="2:12" ht="44.25" customHeight="1">
      <c r="B231" s="122" t="s">
        <v>599</v>
      </c>
      <c r="C231" s="110" t="s">
        <v>36</v>
      </c>
      <c r="D231" s="380">
        <v>88486</v>
      </c>
      <c r="E231" s="282" t="s">
        <v>115</v>
      </c>
      <c r="F231" s="90" t="s">
        <v>33</v>
      </c>
      <c r="G231" s="108">
        <f>VLOOKUP('Pl Orçamentária'!B231,'Memorial de Cálculo'!$B$16:$M$723,12,FALSE)</f>
        <v>13.34</v>
      </c>
      <c r="H231" s="522">
        <v>7.16</v>
      </c>
      <c r="I231" s="108">
        <f t="shared" si="16"/>
        <v>8.94</v>
      </c>
      <c r="J231" s="108">
        <f t="shared" si="17"/>
        <v>119.26</v>
      </c>
      <c r="K231" s="106"/>
      <c r="L231" s="107"/>
    </row>
    <row r="232" spans="2:12" ht="47.25" customHeight="1">
      <c r="B232" s="122" t="s">
        <v>600</v>
      </c>
      <c r="C232" s="110" t="s">
        <v>36</v>
      </c>
      <c r="D232" s="380">
        <v>6067</v>
      </c>
      <c r="E232" s="282" t="s">
        <v>502</v>
      </c>
      <c r="F232" s="470" t="s">
        <v>33</v>
      </c>
      <c r="G232" s="108">
        <f>VLOOKUP('Pl Orçamentária'!B232,'Memorial de Cálculo'!$B$16:$M$723,12,FALSE)</f>
        <v>13.92</v>
      </c>
      <c r="H232" s="522">
        <v>24.07</v>
      </c>
      <c r="I232" s="108">
        <f t="shared" si="16"/>
        <v>30.07</v>
      </c>
      <c r="J232" s="108">
        <f t="shared" si="17"/>
        <v>418.57</v>
      </c>
      <c r="K232" s="106"/>
      <c r="L232" s="107"/>
    </row>
    <row r="233" spans="2:12" ht="7.5" customHeight="1">
      <c r="B233" s="177"/>
      <c r="C233" s="178"/>
      <c r="D233" s="185"/>
      <c r="E233" s="186"/>
      <c r="F233" s="179"/>
      <c r="G233" s="180"/>
      <c r="H233" s="180"/>
      <c r="I233" s="180"/>
      <c r="J233" s="180"/>
      <c r="K233" s="181"/>
      <c r="L233" s="182"/>
    </row>
    <row r="234" spans="2:12" ht="22.5" customHeight="1">
      <c r="B234" s="232" t="s">
        <v>601</v>
      </c>
      <c r="C234" s="230"/>
      <c r="D234" s="273"/>
      <c r="E234" s="231" t="s">
        <v>12</v>
      </c>
      <c r="F234" s="231"/>
      <c r="G234" s="231"/>
      <c r="H234" s="231"/>
      <c r="I234" s="231"/>
      <c r="J234" s="231"/>
      <c r="K234" s="239"/>
      <c r="L234" s="240"/>
    </row>
    <row r="235" spans="2:12" ht="7.5" customHeight="1">
      <c r="B235" s="177"/>
      <c r="C235" s="178"/>
      <c r="D235" s="185"/>
      <c r="E235" s="186"/>
      <c r="F235" s="179"/>
      <c r="G235" s="180"/>
      <c r="H235" s="180"/>
      <c r="I235" s="180"/>
      <c r="J235" s="180"/>
      <c r="K235" s="181"/>
      <c r="L235" s="182"/>
    </row>
    <row r="236" spans="2:12" ht="18" customHeight="1">
      <c r="B236" s="122" t="s">
        <v>602</v>
      </c>
      <c r="C236" s="97" t="s">
        <v>36</v>
      </c>
      <c r="D236" s="480">
        <v>9537</v>
      </c>
      <c r="E236" s="481" t="s">
        <v>503</v>
      </c>
      <c r="F236" s="97" t="s">
        <v>504</v>
      </c>
      <c r="G236" s="108">
        <f>VLOOKUP('Pl Orçamentária'!B236,'Memorial de Cálculo'!$B$16:$M$723,12,FALSE)</f>
        <v>15.575000000000001</v>
      </c>
      <c r="H236" s="382">
        <v>1.48</v>
      </c>
      <c r="I236" s="108">
        <f>ROUND(H236*($I$15/100+1),2)</f>
        <v>1.85</v>
      </c>
      <c r="J236" s="108">
        <f>ROUND(I236*G236,2)</f>
        <v>28.81</v>
      </c>
      <c r="K236" s="106"/>
      <c r="L236" s="107"/>
    </row>
    <row r="237" spans="2:12" ht="7.5" customHeight="1" thickBot="1">
      <c r="B237" s="187"/>
      <c r="C237" s="188"/>
      <c r="D237" s="272"/>
      <c r="E237" s="277"/>
      <c r="F237" s="179"/>
      <c r="G237" s="180"/>
      <c r="H237" s="180"/>
      <c r="I237" s="180"/>
      <c r="J237" s="180"/>
      <c r="K237" s="181"/>
      <c r="L237" s="182"/>
    </row>
    <row r="238" spans="2:12" ht="22.5" customHeight="1" thickBot="1">
      <c r="B238" s="189"/>
      <c r="C238" s="248"/>
      <c r="D238" s="198"/>
      <c r="E238" s="417" t="s">
        <v>146</v>
      </c>
      <c r="F238" s="192"/>
      <c r="G238" s="193"/>
      <c r="H238" s="193"/>
      <c r="I238" s="193"/>
      <c r="J238" s="194"/>
      <c r="K238" s="416">
        <f>SUM(K17:K237)</f>
        <v>148046.59</v>
      </c>
      <c r="L238" s="526">
        <f>SUM(L17:L236)</f>
        <v>1</v>
      </c>
    </row>
    <row r="239" spans="2:12" ht="22.5" customHeight="1">
      <c r="B239" s="177"/>
      <c r="C239" s="259"/>
      <c r="D239" s="185"/>
      <c r="E239" s="260"/>
      <c r="F239" s="179"/>
      <c r="G239" s="180"/>
      <c r="H239" s="180"/>
      <c r="I239" s="180"/>
      <c r="J239" s="180"/>
      <c r="K239" s="181"/>
      <c r="L239" s="182"/>
    </row>
    <row r="240" spans="2:12" ht="19.5" customHeight="1">
      <c r="B240" s="177"/>
      <c r="C240" s="178"/>
      <c r="D240" s="185"/>
      <c r="E240" s="186"/>
      <c r="F240" s="179"/>
      <c r="G240" s="180"/>
      <c r="H240" s="180"/>
      <c r="I240" s="180"/>
      <c r="J240" s="180"/>
      <c r="K240" s="181"/>
      <c r="L240" s="182"/>
    </row>
    <row r="241" spans="2:12" ht="19.5" customHeight="1">
      <c r="B241" s="706" t="e">
        <f>"Importa o presente orçamento a quantia de R$ "&amp;FIXED(K238)&amp;" ("&amp;extenso(K238)&amp;"), referente a "&amp;$B$9&amp;", "&amp;$F$9</f>
        <v>#NAME?</v>
      </c>
      <c r="C241" s="706"/>
      <c r="D241" s="706"/>
      <c r="E241" s="706"/>
      <c r="F241" s="706"/>
      <c r="G241" s="706"/>
      <c r="H241" s="706"/>
      <c r="I241" s="706"/>
      <c r="J241" s="706"/>
      <c r="K241" s="706"/>
      <c r="L241" s="706"/>
    </row>
    <row r="242" spans="2:12" ht="52.5" customHeight="1">
      <c r="B242" s="706"/>
      <c r="C242" s="706"/>
      <c r="D242" s="706"/>
      <c r="E242" s="706"/>
      <c r="F242" s="706"/>
      <c r="G242" s="706"/>
      <c r="H242" s="706"/>
      <c r="I242" s="706"/>
      <c r="J242" s="706"/>
      <c r="K242" s="706"/>
      <c r="L242" s="706"/>
    </row>
    <row r="243" spans="2:12" ht="19.5" customHeight="1">
      <c r="B243" s="116"/>
      <c r="C243" s="116"/>
      <c r="D243" s="116"/>
      <c r="E243" s="117"/>
      <c r="F243" s="116"/>
      <c r="G243" s="118"/>
      <c r="H243" s="249"/>
      <c r="I243" s="118"/>
      <c r="J243" s="118"/>
      <c r="K243" s="119"/>
      <c r="L243" s="120"/>
    </row>
    <row r="245" ht="15" customHeight="1"/>
    <row r="247" spans="3:5" ht="15">
      <c r="C247" s="703" t="s">
        <v>754</v>
      </c>
      <c r="D247" s="703"/>
      <c r="E247" s="703"/>
    </row>
  </sheetData>
  <sheetProtection/>
  <mergeCells count="25">
    <mergeCell ref="B12:L12"/>
    <mergeCell ref="C247:E247"/>
    <mergeCell ref="L14:L15"/>
    <mergeCell ref="K14:K15"/>
    <mergeCell ref="J14:J15"/>
    <mergeCell ref="H14:H15"/>
    <mergeCell ref="B241:L242"/>
    <mergeCell ref="F2:L3"/>
    <mergeCell ref="B2:D7"/>
    <mergeCell ref="F6:L7"/>
    <mergeCell ref="F4:L5"/>
    <mergeCell ref="B9:E9"/>
    <mergeCell ref="F9:L9"/>
    <mergeCell ref="B10:E10"/>
    <mergeCell ref="F10:L10"/>
    <mergeCell ref="F14:F15"/>
    <mergeCell ref="E14:E15"/>
    <mergeCell ref="D14:D15"/>
    <mergeCell ref="C14:C15"/>
    <mergeCell ref="B14:B15"/>
    <mergeCell ref="B11:E11"/>
    <mergeCell ref="G14:G1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B2:N38"/>
  <sheetViews>
    <sheetView view="pageBreakPreview" zoomScaleSheetLayoutView="100" zoomScalePageLayoutView="0" workbookViewId="0" topLeftCell="A10">
      <selection activeCell="J26" sqref="J26"/>
    </sheetView>
  </sheetViews>
  <sheetFormatPr defaultColWidth="9.140625" defaultRowHeight="15"/>
  <cols>
    <col min="2" max="2" width="9.140625" style="0" customWidth="1"/>
    <col min="3" max="3" width="48.57421875" style="0" customWidth="1"/>
    <col min="4" max="4" width="8.57421875" style="0" customWidth="1"/>
    <col min="5" max="5" width="15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2.7109375" style="0" customWidth="1"/>
    <col min="12" max="12" width="16.140625" style="0" customWidth="1"/>
    <col min="14" max="14" width="11.57421875" style="0" bestFit="1" customWidth="1"/>
  </cols>
  <sheetData>
    <row r="2" spans="2:12" ht="18" customHeight="1">
      <c r="B2" s="25"/>
      <c r="C2" s="26"/>
      <c r="D2" s="26"/>
      <c r="E2" s="26"/>
      <c r="F2" s="707" t="s">
        <v>40</v>
      </c>
      <c r="G2" s="686"/>
      <c r="H2" s="686"/>
      <c r="I2" s="686"/>
      <c r="J2" s="686"/>
      <c r="K2" s="686"/>
      <c r="L2" s="686"/>
    </row>
    <row r="3" spans="2:12" ht="18" customHeight="1">
      <c r="B3" s="27"/>
      <c r="C3" s="28"/>
      <c r="D3" s="28"/>
      <c r="E3" s="28"/>
      <c r="F3" s="686"/>
      <c r="G3" s="686"/>
      <c r="H3" s="686"/>
      <c r="I3" s="686"/>
      <c r="J3" s="686"/>
      <c r="K3" s="686"/>
      <c r="L3" s="686"/>
    </row>
    <row r="4" spans="2:12" ht="18" customHeight="1">
      <c r="B4" s="27"/>
      <c r="C4" s="28"/>
      <c r="D4" s="28"/>
      <c r="E4" s="28"/>
      <c r="F4" s="686" t="s">
        <v>41</v>
      </c>
      <c r="G4" s="686"/>
      <c r="H4" s="686"/>
      <c r="I4" s="686"/>
      <c r="J4" s="686"/>
      <c r="K4" s="686"/>
      <c r="L4" s="686"/>
    </row>
    <row r="5" spans="2:12" ht="18" customHeight="1">
      <c r="B5" s="27"/>
      <c r="C5" s="28"/>
      <c r="D5" s="28"/>
      <c r="E5" s="28"/>
      <c r="F5" s="686"/>
      <c r="G5" s="686"/>
      <c r="H5" s="686"/>
      <c r="I5" s="686"/>
      <c r="J5" s="686"/>
      <c r="K5" s="686"/>
      <c r="L5" s="686"/>
    </row>
    <row r="6" spans="2:12" ht="18" customHeight="1">
      <c r="B6" s="27"/>
      <c r="C6" s="28"/>
      <c r="D6" s="28"/>
      <c r="E6" s="28"/>
      <c r="F6" s="708" t="s">
        <v>29</v>
      </c>
      <c r="G6" s="708"/>
      <c r="H6" s="708"/>
      <c r="I6" s="708"/>
      <c r="J6" s="708"/>
      <c r="K6" s="708"/>
      <c r="L6" s="708"/>
    </row>
    <row r="7" spans="2:12" ht="18" customHeight="1">
      <c r="B7" s="29"/>
      <c r="C7" s="30"/>
      <c r="D7" s="30"/>
      <c r="E7" s="30"/>
      <c r="F7" s="708"/>
      <c r="G7" s="708"/>
      <c r="H7" s="708"/>
      <c r="I7" s="708"/>
      <c r="J7" s="708"/>
      <c r="K7" s="708"/>
      <c r="L7" s="708"/>
    </row>
    <row r="8" spans="2:12" ht="6" customHeight="1">
      <c r="B8" s="31"/>
      <c r="C8" s="28"/>
      <c r="D8" s="28"/>
      <c r="E8" s="28"/>
      <c r="F8" s="31"/>
      <c r="G8" s="32"/>
      <c r="H8" s="32"/>
      <c r="I8" s="32"/>
      <c r="J8" s="32"/>
      <c r="K8" s="33"/>
      <c r="L8" s="34"/>
    </row>
    <row r="9" spans="2:12" ht="24" customHeight="1">
      <c r="B9" s="709" t="s">
        <v>756</v>
      </c>
      <c r="C9" s="710"/>
      <c r="D9" s="710"/>
      <c r="E9" s="710"/>
      <c r="F9" s="709" t="s">
        <v>363</v>
      </c>
      <c r="G9" s="710"/>
      <c r="H9" s="710"/>
      <c r="I9" s="710"/>
      <c r="J9" s="710"/>
      <c r="K9" s="710"/>
      <c r="L9" s="714"/>
    </row>
    <row r="10" spans="2:12" ht="24" customHeight="1">
      <c r="B10" s="709" t="s">
        <v>90</v>
      </c>
      <c r="C10" s="710"/>
      <c r="D10" s="710"/>
      <c r="E10" s="710"/>
      <c r="F10" s="719" t="str">
        <f>'Pl Orçamentária'!F10</f>
        <v>Data Base: Dezembro de 2015/Com Desoneração</v>
      </c>
      <c r="G10" s="720"/>
      <c r="H10" s="720"/>
      <c r="I10" s="720"/>
      <c r="J10" s="720"/>
      <c r="K10" s="720"/>
      <c r="L10" s="721"/>
    </row>
    <row r="11" spans="2:12" ht="6" customHeight="1" thickBo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5"/>
    </row>
    <row r="12" spans="2:12" ht="31.5" customHeight="1" thickBot="1">
      <c r="B12" s="711" t="s">
        <v>47</v>
      </c>
      <c r="C12" s="712"/>
      <c r="D12" s="712"/>
      <c r="E12" s="712"/>
      <c r="F12" s="712"/>
      <c r="G12" s="712"/>
      <c r="H12" s="712"/>
      <c r="I12" s="712"/>
      <c r="J12" s="712"/>
      <c r="K12" s="712"/>
      <c r="L12" s="713"/>
    </row>
    <row r="13" spans="2:12" ht="6" customHeight="1" thickBo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5"/>
    </row>
    <row r="14" spans="2:12" ht="15" customHeight="1">
      <c r="B14" s="717" t="s">
        <v>15</v>
      </c>
      <c r="C14" s="722" t="s">
        <v>16</v>
      </c>
      <c r="D14" s="722" t="s">
        <v>18</v>
      </c>
      <c r="E14" s="722" t="s">
        <v>19</v>
      </c>
      <c r="F14" s="715" t="s">
        <v>20</v>
      </c>
      <c r="G14" s="716"/>
      <c r="H14" s="715" t="s">
        <v>21</v>
      </c>
      <c r="I14" s="716"/>
      <c r="J14" s="715" t="s">
        <v>27</v>
      </c>
      <c r="K14" s="716"/>
      <c r="L14" s="724" t="s">
        <v>14</v>
      </c>
    </row>
    <row r="15" spans="2:12" ht="15.75" thickBot="1">
      <c r="B15" s="718"/>
      <c r="C15" s="723"/>
      <c r="D15" s="723"/>
      <c r="E15" s="723"/>
      <c r="F15" s="310" t="s">
        <v>22</v>
      </c>
      <c r="G15" s="310" t="s">
        <v>23</v>
      </c>
      <c r="H15" s="310" t="s">
        <v>22</v>
      </c>
      <c r="I15" s="310" t="s">
        <v>23</v>
      </c>
      <c r="J15" s="310" t="s">
        <v>22</v>
      </c>
      <c r="K15" s="310" t="s">
        <v>23</v>
      </c>
      <c r="L15" s="725"/>
    </row>
    <row r="16" spans="2:12" ht="6" customHeight="1" thickBot="1">
      <c r="B16" s="37"/>
      <c r="C16" s="37"/>
      <c r="D16" s="38"/>
      <c r="E16" s="37"/>
      <c r="F16" s="38"/>
      <c r="G16" s="38"/>
      <c r="H16" s="38"/>
      <c r="I16" s="38"/>
      <c r="J16" s="38"/>
      <c r="K16" s="38"/>
      <c r="L16" s="37"/>
    </row>
    <row r="17" spans="2:12" ht="15">
      <c r="B17" s="387" t="str">
        <f>'Pl Orçamentária'!B17</f>
        <v>1.00</v>
      </c>
      <c r="C17" s="388" t="str">
        <f>VLOOKUP(B17,'Pl Orçamentária'!$B$14:$L$236,4,FALSE)</f>
        <v>SERVIÇOS PRELIMINARES</v>
      </c>
      <c r="D17" s="389">
        <f aca="true" t="shared" si="0" ref="D17:D27">E17/$E$29</f>
        <v>0.0628265737157472</v>
      </c>
      <c r="E17" s="390">
        <f>VLOOKUP(B17,'Pl Orçamentária'!$B$14:$L$236,10,FALSE)</f>
        <v>9301.26</v>
      </c>
      <c r="F17" s="392">
        <v>100</v>
      </c>
      <c r="G17" s="391">
        <f aca="true" t="shared" si="1" ref="G17:G27">F17*E17/100</f>
        <v>9301.26</v>
      </c>
      <c r="H17" s="392">
        <v>0</v>
      </c>
      <c r="I17" s="391">
        <f aca="true" t="shared" si="2" ref="I17:I27">H17*E17/100</f>
        <v>0</v>
      </c>
      <c r="J17" s="392">
        <v>0</v>
      </c>
      <c r="K17" s="391">
        <f aca="true" t="shared" si="3" ref="K17:K27">J17*E17/100</f>
        <v>0</v>
      </c>
      <c r="L17" s="393">
        <f>G17+I17+K17</f>
        <v>9301.26</v>
      </c>
    </row>
    <row r="18" spans="2:12" ht="15">
      <c r="B18" s="394" t="str">
        <f>'Pl Orçamentária'!B22</f>
        <v>2.00</v>
      </c>
      <c r="C18" s="12" t="str">
        <f>VLOOKUP(B18,'Pl Orçamentária'!$B$14:$L$236,4,FALSE)</f>
        <v>RETIRADAS E DEMOLIÇÕES</v>
      </c>
      <c r="D18" s="299">
        <f t="shared" si="0"/>
        <v>0.02883875947429792</v>
      </c>
      <c r="E18" s="298">
        <f>VLOOKUP(B18,'Pl Orçamentária'!$B$14:$L$236,10,FALSE)</f>
        <v>4269.48</v>
      </c>
      <c r="F18" s="121">
        <v>100</v>
      </c>
      <c r="G18" s="4">
        <f t="shared" si="1"/>
        <v>4269.48</v>
      </c>
      <c r="H18" s="121">
        <v>0</v>
      </c>
      <c r="I18" s="4">
        <f t="shared" si="2"/>
        <v>0</v>
      </c>
      <c r="J18" s="121"/>
      <c r="K18" s="4">
        <f t="shared" si="3"/>
        <v>0</v>
      </c>
      <c r="L18" s="395">
        <f aca="true" t="shared" si="4" ref="L18:L27">G18+I18+K18</f>
        <v>4269.48</v>
      </c>
    </row>
    <row r="19" spans="2:12" ht="15">
      <c r="B19" s="394" t="str">
        <f>'Pl Orçamentária'!B34</f>
        <v>3.00</v>
      </c>
      <c r="C19" s="12" t="str">
        <f>VLOOKUP(B19,'Pl Orçamentária'!$B$14:$L$236,4,FALSE)</f>
        <v>COBERTURA</v>
      </c>
      <c r="D19" s="299">
        <f t="shared" si="0"/>
        <v>0.1144732884425099</v>
      </c>
      <c r="E19" s="298">
        <f>VLOOKUP(B19,'Pl Orçamentária'!$B$14:$L$236,10,FALSE)</f>
        <v>16947.38</v>
      </c>
      <c r="F19" s="121">
        <v>50</v>
      </c>
      <c r="G19" s="4">
        <f t="shared" si="1"/>
        <v>8473.69</v>
      </c>
      <c r="H19" s="121">
        <v>50</v>
      </c>
      <c r="I19" s="4">
        <f t="shared" si="2"/>
        <v>8473.69</v>
      </c>
      <c r="J19" s="121">
        <v>0</v>
      </c>
      <c r="K19" s="4">
        <f t="shared" si="3"/>
        <v>0</v>
      </c>
      <c r="L19" s="395">
        <f t="shared" si="4"/>
        <v>16947.38</v>
      </c>
    </row>
    <row r="20" spans="2:12" ht="15">
      <c r="B20" s="394" t="str">
        <f>'Pl Orçamentária'!B39</f>
        <v>4.00</v>
      </c>
      <c r="C20" s="12" t="str">
        <f>VLOOKUP(B20,'Pl Orçamentária'!$B$14:$L$236,4,FALSE)</f>
        <v>ESQUADRIAS</v>
      </c>
      <c r="D20" s="299">
        <f t="shared" si="0"/>
        <v>0.1565495699698318</v>
      </c>
      <c r="E20" s="298">
        <f>VLOOKUP(B20,'Pl Orçamentária'!$B$14:$L$236,10,FALSE)</f>
        <v>23176.63</v>
      </c>
      <c r="F20" s="121">
        <v>0</v>
      </c>
      <c r="G20" s="4">
        <f t="shared" si="1"/>
        <v>0</v>
      </c>
      <c r="H20" s="121">
        <v>50</v>
      </c>
      <c r="I20" s="4">
        <f t="shared" si="2"/>
        <v>11588.315</v>
      </c>
      <c r="J20" s="121">
        <v>50</v>
      </c>
      <c r="K20" s="4">
        <f t="shared" si="3"/>
        <v>11588.315</v>
      </c>
      <c r="L20" s="395">
        <f t="shared" si="4"/>
        <v>23176.63</v>
      </c>
    </row>
    <row r="21" spans="2:12" ht="15">
      <c r="B21" s="394" t="str">
        <f>'Pl Orçamentária'!B62</f>
        <v>5.00</v>
      </c>
      <c r="C21" s="12" t="str">
        <f>VLOOKUP(B21,'Pl Orçamentária'!$B$14:$L$236,4,FALSE)</f>
        <v>INSTALAÇÕES  HIDRO-SANITÁRIAS E COMBATE A INCÊNDIO</v>
      </c>
      <c r="D21" s="299">
        <f t="shared" si="0"/>
        <v>0.0985913285810906</v>
      </c>
      <c r="E21" s="298">
        <f>VLOOKUP(B21,'Pl Orçamentária'!$B$14:$L$236,10,FALSE)</f>
        <v>14596.11</v>
      </c>
      <c r="F21" s="121">
        <v>50</v>
      </c>
      <c r="G21" s="4">
        <f>F21*E21/100</f>
        <v>7298.055</v>
      </c>
      <c r="H21" s="121">
        <v>50</v>
      </c>
      <c r="I21" s="4">
        <f t="shared" si="2"/>
        <v>7298.055</v>
      </c>
      <c r="J21" s="121">
        <v>0</v>
      </c>
      <c r="K21" s="4">
        <f>J21*E21/100</f>
        <v>0</v>
      </c>
      <c r="L21" s="395">
        <f t="shared" si="4"/>
        <v>14596.11</v>
      </c>
    </row>
    <row r="22" spans="2:12" ht="24">
      <c r="B22" s="394" t="str">
        <f>'Pl Orçamentária'!B90</f>
        <v>6.00</v>
      </c>
      <c r="C22" s="446" t="str">
        <f>VLOOKUP(B22,'Pl Orçamentária'!$B$14:$L$236,4,FALSE)</f>
        <v>INSTALAÇÕES ELÉTRICAS, LÓGICASE E COMBATE AO INCÊNDIO</v>
      </c>
      <c r="D22" s="299">
        <f t="shared" si="0"/>
        <v>0.04955669698302407</v>
      </c>
      <c r="E22" s="298">
        <f>VLOOKUP(B22,'Pl Orçamentária'!$B$14:$L$236,10,FALSE)</f>
        <v>7336.700000000001</v>
      </c>
      <c r="F22" s="121">
        <v>50</v>
      </c>
      <c r="G22" s="4">
        <f t="shared" si="1"/>
        <v>3668.3500000000004</v>
      </c>
      <c r="H22" s="121">
        <v>50</v>
      </c>
      <c r="I22" s="4">
        <f t="shared" si="2"/>
        <v>3668.3500000000004</v>
      </c>
      <c r="J22" s="121">
        <v>0</v>
      </c>
      <c r="K22" s="4">
        <f t="shared" si="3"/>
        <v>0</v>
      </c>
      <c r="L22" s="395">
        <f t="shared" si="4"/>
        <v>7336.700000000001</v>
      </c>
    </row>
    <row r="23" spans="2:12" ht="15">
      <c r="B23" s="394" t="str">
        <f>'Pl Orçamentária'!B116</f>
        <v>7.00</v>
      </c>
      <c r="C23" s="12" t="str">
        <f>VLOOKUP(B23,'Pl Orçamentária'!$B$14:$L$236,4,FALSE)</f>
        <v>REVESTIMENTO</v>
      </c>
      <c r="D23" s="299">
        <f t="shared" si="0"/>
        <v>0.013547356950268154</v>
      </c>
      <c r="E23" s="298">
        <f>VLOOKUP(B23,'Pl Orçamentária'!$B$14:$L$236,10,FALSE)</f>
        <v>2005.6399999999999</v>
      </c>
      <c r="F23" s="121">
        <v>0</v>
      </c>
      <c r="G23" s="4">
        <f t="shared" si="1"/>
        <v>0</v>
      </c>
      <c r="H23" s="121">
        <v>40</v>
      </c>
      <c r="I23" s="4">
        <f t="shared" si="2"/>
        <v>802.2559999999999</v>
      </c>
      <c r="J23" s="121">
        <v>60</v>
      </c>
      <c r="K23" s="4">
        <f t="shared" si="3"/>
        <v>1203.384</v>
      </c>
      <c r="L23" s="395">
        <f t="shared" si="4"/>
        <v>2005.6399999999999</v>
      </c>
    </row>
    <row r="24" spans="2:12" ht="15">
      <c r="B24" s="394" t="str">
        <f>'Pl Orçamentária'!B123</f>
        <v>8.00</v>
      </c>
      <c r="C24" s="12" t="str">
        <f>VLOOKUP(B24,'Pl Orçamentária'!$B$14:$L$236,4,FALSE)</f>
        <v>PAVIMENTAÇÃO</v>
      </c>
      <c r="D24" s="299">
        <f t="shared" si="0"/>
        <v>0.0013489672406503924</v>
      </c>
      <c r="E24" s="298">
        <f>VLOOKUP(B24,'Pl Orçamentária'!$B$14:$L$236,10,FALSE)</f>
        <v>199.70999999999998</v>
      </c>
      <c r="F24" s="121">
        <v>0</v>
      </c>
      <c r="G24" s="4">
        <f t="shared" si="1"/>
        <v>0</v>
      </c>
      <c r="H24" s="121">
        <v>0</v>
      </c>
      <c r="I24" s="4">
        <f t="shared" si="2"/>
        <v>0</v>
      </c>
      <c r="J24" s="121">
        <v>100</v>
      </c>
      <c r="K24" s="4">
        <f t="shared" si="3"/>
        <v>199.70999999999995</v>
      </c>
      <c r="L24" s="395">
        <f t="shared" si="4"/>
        <v>199.70999999999995</v>
      </c>
    </row>
    <row r="25" spans="2:12" ht="15">
      <c r="B25" s="394" t="str">
        <f>'Pl Orçamentária'!B128</f>
        <v>9.00</v>
      </c>
      <c r="C25" s="12" t="str">
        <f>VLOOKUP(B25,'Pl Orçamentária'!$B$14:$L$236,4,FALSE)</f>
        <v>PINTURA</v>
      </c>
      <c r="D25" s="299">
        <f t="shared" si="0"/>
        <v>0.24531088490454256</v>
      </c>
      <c r="E25" s="298">
        <f>VLOOKUP(B25,'Pl Orçamentária'!$B$14:$L$236,10,FALSE)</f>
        <v>36317.44</v>
      </c>
      <c r="F25" s="121">
        <v>0</v>
      </c>
      <c r="G25" s="4">
        <f t="shared" si="1"/>
        <v>0</v>
      </c>
      <c r="H25" s="121">
        <v>25</v>
      </c>
      <c r="I25" s="4">
        <f t="shared" si="2"/>
        <v>9079.36</v>
      </c>
      <c r="J25" s="121">
        <v>75</v>
      </c>
      <c r="K25" s="4">
        <f t="shared" si="3"/>
        <v>27238.08</v>
      </c>
      <c r="L25" s="395">
        <f t="shared" si="4"/>
        <v>36317.44</v>
      </c>
    </row>
    <row r="26" spans="2:12" ht="15">
      <c r="B26" s="394" t="str">
        <f>'Pl Orçamentária'!B141</f>
        <v>10.00</v>
      </c>
      <c r="C26" s="12" t="str">
        <f>VLOOKUP(B26,'Pl Orçamentária'!$B$14:$L$236,4,FALSE)</f>
        <v>DIVERSOS</v>
      </c>
      <c r="D26" s="299">
        <f t="shared" si="0"/>
        <v>0.008188706001266224</v>
      </c>
      <c r="E26" s="298">
        <f>VLOOKUP(B26,'Pl Orçamentária'!$B$14:$L$236,10,FALSE)</f>
        <v>1212.31</v>
      </c>
      <c r="F26" s="121">
        <v>0</v>
      </c>
      <c r="G26" s="4">
        <f t="shared" si="1"/>
        <v>0</v>
      </c>
      <c r="H26" s="121">
        <v>0</v>
      </c>
      <c r="I26" s="4">
        <f t="shared" si="2"/>
        <v>0</v>
      </c>
      <c r="J26" s="121">
        <v>100</v>
      </c>
      <c r="K26" s="4">
        <f t="shared" si="3"/>
        <v>1212.31</v>
      </c>
      <c r="L26" s="395">
        <f t="shared" si="4"/>
        <v>1212.31</v>
      </c>
    </row>
    <row r="27" spans="2:12" ht="24.75" thickBot="1">
      <c r="B27" s="396" t="str">
        <f>'Pl Orçamentária'!B145</f>
        <v>11.00</v>
      </c>
      <c r="C27" s="648" t="str">
        <f>VLOOKUP(B27,'Pl Orçamentária'!$B$14:$L$236,4,FALSE)</f>
        <v>DEPÓSITO DE GAS GLP E COMPRESSOR/CENTRAL DE RESÍDUOS</v>
      </c>
      <c r="D27" s="397">
        <f t="shared" si="0"/>
        <v>0.22076786773677126</v>
      </c>
      <c r="E27" s="398">
        <f>VLOOKUP(B27,'Pl Orçamentária'!$B$14:$L$236,10,FALSE)</f>
        <v>32683.93</v>
      </c>
      <c r="F27" s="400">
        <v>0</v>
      </c>
      <c r="G27" s="399">
        <f t="shared" si="1"/>
        <v>0</v>
      </c>
      <c r="H27" s="400">
        <v>50</v>
      </c>
      <c r="I27" s="399">
        <f t="shared" si="2"/>
        <v>16341.965</v>
      </c>
      <c r="J27" s="400">
        <v>50</v>
      </c>
      <c r="K27" s="399">
        <f t="shared" si="3"/>
        <v>16341.965</v>
      </c>
      <c r="L27" s="401">
        <f t="shared" si="4"/>
        <v>32683.93</v>
      </c>
    </row>
    <row r="28" spans="2:12" ht="6" customHeight="1" thickBot="1">
      <c r="B28" s="383"/>
      <c r="C28" s="313"/>
      <c r="D28" s="384"/>
      <c r="E28" s="316"/>
      <c r="F28" s="385"/>
      <c r="G28" s="385"/>
      <c r="H28" s="385"/>
      <c r="I28" s="385"/>
      <c r="J28" s="385"/>
      <c r="K28" s="385"/>
      <c r="L28" s="386"/>
    </row>
    <row r="29" spans="2:12" ht="19.5" customHeight="1" thickBot="1">
      <c r="B29" s="311"/>
      <c r="C29" s="312" t="s">
        <v>24</v>
      </c>
      <c r="D29" s="161"/>
      <c r="E29" s="671">
        <f>SUM(E17:E27)</f>
        <v>148046.59</v>
      </c>
      <c r="F29" s="672"/>
      <c r="G29" s="672">
        <f>SUM(G17:G27)</f>
        <v>33010.835</v>
      </c>
      <c r="H29" s="672"/>
      <c r="I29" s="671">
        <f>SUM(I17:I27)</f>
        <v>57251.99100000001</v>
      </c>
      <c r="J29" s="672"/>
      <c r="K29" s="672">
        <f>SUM(K17:K27)</f>
        <v>57783.763999999996</v>
      </c>
      <c r="L29" s="673">
        <f>G29+I29+K29</f>
        <v>148046.59</v>
      </c>
    </row>
    <row r="30" spans="2:12" ht="6" customHeight="1" thickBot="1">
      <c r="B30" s="313"/>
      <c r="C30" s="314"/>
      <c r="D30" s="315"/>
      <c r="E30" s="316"/>
      <c r="F30" s="317"/>
      <c r="G30" s="316"/>
      <c r="H30" s="315"/>
      <c r="I30" s="316"/>
      <c r="J30" s="316"/>
      <c r="K30" s="316"/>
      <c r="L30" s="316"/>
    </row>
    <row r="31" spans="2:12" ht="19.5" customHeight="1" thickBot="1">
      <c r="B31" s="311"/>
      <c r="C31" s="312" t="s">
        <v>25</v>
      </c>
      <c r="D31" s="318">
        <f>SUM(D17:D27)</f>
        <v>1</v>
      </c>
      <c r="E31" s="319"/>
      <c r="F31" s="320">
        <f>G29/E29</f>
        <v>0.22297599019335737</v>
      </c>
      <c r="G31" s="321"/>
      <c r="H31" s="321">
        <f>I29/E29</f>
        <v>0.38671603986285674</v>
      </c>
      <c r="I31" s="321"/>
      <c r="J31" s="321">
        <f>K29/E29</f>
        <v>0.3903079699437859</v>
      </c>
      <c r="K31" s="321"/>
      <c r="L31" s="322">
        <f>F31+H31+J31</f>
        <v>1</v>
      </c>
    </row>
    <row r="32" spans="2:14" ht="15">
      <c r="B32" s="252"/>
      <c r="C32" s="252"/>
      <c r="D32" s="253"/>
      <c r="E32" s="252"/>
      <c r="F32" s="253"/>
      <c r="G32" s="253"/>
      <c r="H32" s="253"/>
      <c r="I32" s="253"/>
      <c r="J32" s="253"/>
      <c r="K32" s="253"/>
      <c r="L32" s="253"/>
      <c r="N32" s="77"/>
    </row>
    <row r="33" spans="2:12" ht="15">
      <c r="B33" s="252"/>
      <c r="C33" s="251" t="str">
        <f>'Pl Orçamentária'!C247</f>
        <v>Teresina (PI),  16 de Fevereiro de  2016</v>
      </c>
      <c r="D33" s="253"/>
      <c r="E33" s="252"/>
      <c r="F33" s="253"/>
      <c r="G33" s="253"/>
      <c r="H33" s="253"/>
      <c r="I33" s="253"/>
      <c r="J33" s="253"/>
      <c r="K33" s="253"/>
      <c r="L33" s="253"/>
    </row>
    <row r="34" spans="2:12" ht="15" customHeight="1">
      <c r="B34" s="250"/>
      <c r="D34" s="254"/>
      <c r="E34" s="255"/>
      <c r="F34" s="256"/>
      <c r="G34" s="257"/>
      <c r="H34" s="256"/>
      <c r="I34" s="258"/>
      <c r="J34" s="258"/>
      <c r="K34" s="258"/>
      <c r="L34" s="253"/>
    </row>
    <row r="35" spans="2:12" ht="15">
      <c r="B35" s="221"/>
      <c r="C35" s="221"/>
      <c r="D35" s="254"/>
      <c r="E35" s="255"/>
      <c r="F35" s="255"/>
      <c r="G35" s="257"/>
      <c r="H35" s="256"/>
      <c r="I35" s="258"/>
      <c r="J35" s="258"/>
      <c r="K35" s="258"/>
      <c r="L35" s="253"/>
    </row>
    <row r="36" spans="2:12" ht="15">
      <c r="B36" s="221"/>
      <c r="C36" s="221"/>
      <c r="D36" s="254"/>
      <c r="E36" s="255"/>
      <c r="F36" s="255"/>
      <c r="G36" s="257"/>
      <c r="H36" s="256"/>
      <c r="I36" s="258"/>
      <c r="J36" s="258"/>
      <c r="K36" s="258"/>
      <c r="L36" s="253"/>
    </row>
    <row r="37" spans="2:12" ht="15">
      <c r="B37" s="221"/>
      <c r="C37" s="221"/>
      <c r="D37" s="254"/>
      <c r="E37" s="255"/>
      <c r="F37" s="255"/>
      <c r="G37" s="257"/>
      <c r="H37" s="256"/>
      <c r="I37" s="258"/>
      <c r="J37" s="258"/>
      <c r="K37" s="258"/>
      <c r="L37" s="253"/>
    </row>
    <row r="38" spans="2:12" ht="15">
      <c r="B38" s="221"/>
      <c r="C38" s="221"/>
      <c r="D38" s="254"/>
      <c r="E38" s="255"/>
      <c r="F38" s="255"/>
      <c r="G38" s="257"/>
      <c r="H38" s="256"/>
      <c r="I38" s="258"/>
      <c r="J38" s="258"/>
      <c r="K38" s="258"/>
      <c r="L38" s="253"/>
    </row>
  </sheetData>
  <sheetProtection/>
  <mergeCells count="16">
    <mergeCell ref="J14:K14"/>
    <mergeCell ref="B14:B15"/>
    <mergeCell ref="F10:L10"/>
    <mergeCell ref="H14:I14"/>
    <mergeCell ref="D14:D15"/>
    <mergeCell ref="F14:G14"/>
    <mergeCell ref="E14:E15"/>
    <mergeCell ref="C14:C15"/>
    <mergeCell ref="L14:L15"/>
    <mergeCell ref="F2:L3"/>
    <mergeCell ref="F4:L5"/>
    <mergeCell ref="F6:L7"/>
    <mergeCell ref="B9:E9"/>
    <mergeCell ref="B10:E10"/>
    <mergeCell ref="B12:L12"/>
    <mergeCell ref="F9:L9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79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B2:M735"/>
  <sheetViews>
    <sheetView view="pageBreakPreview" zoomScale="78" zoomScaleNormal="42" zoomScaleSheetLayoutView="78" zoomScalePageLayoutView="0" workbookViewId="0" topLeftCell="A14">
      <pane ySplit="1" topLeftCell="A15" activePane="bottomLeft" state="frozen"/>
      <selection pane="topLeft" activeCell="A14" sqref="A14"/>
      <selection pane="bottomLeft" activeCell="E508" sqref="E508:E539"/>
    </sheetView>
  </sheetViews>
  <sheetFormatPr defaultColWidth="9.140625" defaultRowHeight="15"/>
  <cols>
    <col min="2" max="2" width="10.8515625" style="0" customWidth="1"/>
    <col min="3" max="3" width="50.421875" style="0" customWidth="1"/>
    <col min="4" max="4" width="8.7109375" style="0" customWidth="1"/>
    <col min="5" max="5" width="50.8515625" style="0" customWidth="1"/>
    <col min="6" max="6" width="12.421875" style="0" customWidth="1"/>
    <col min="7" max="7" width="12.140625" style="0" customWidth="1"/>
    <col min="8" max="8" width="14.28125" style="0" customWidth="1"/>
    <col min="9" max="9" width="15.00390625" style="0" customWidth="1"/>
    <col min="10" max="10" width="13.28125" style="0" customWidth="1"/>
    <col min="11" max="11" width="12.00390625" style="0" customWidth="1"/>
    <col min="12" max="12" width="12.7109375" style="0" customWidth="1"/>
    <col min="13" max="13" width="12.140625" style="0" customWidth="1"/>
    <col min="15" max="15" width="11.7109375" style="0" customWidth="1"/>
  </cols>
  <sheetData>
    <row r="2" spans="2:13" ht="24.75" customHeight="1">
      <c r="B2" s="166"/>
      <c r="C2" s="308"/>
      <c r="D2" s="797"/>
      <c r="E2" s="798"/>
      <c r="F2" s="785" t="s">
        <v>40</v>
      </c>
      <c r="G2" s="785"/>
      <c r="H2" s="785"/>
      <c r="I2" s="785"/>
      <c r="J2" s="785"/>
      <c r="K2" s="785"/>
      <c r="L2" s="785"/>
      <c r="M2" s="786"/>
    </row>
    <row r="3" spans="2:13" ht="24.75" customHeight="1">
      <c r="B3" s="167"/>
      <c r="C3" s="307"/>
      <c r="D3" s="799"/>
      <c r="E3" s="800"/>
      <c r="F3" s="787"/>
      <c r="G3" s="787"/>
      <c r="H3" s="787"/>
      <c r="I3" s="787"/>
      <c r="J3" s="787"/>
      <c r="K3" s="787"/>
      <c r="L3" s="787"/>
      <c r="M3" s="788"/>
    </row>
    <row r="4" spans="2:13" ht="24.75" customHeight="1">
      <c r="B4" s="167"/>
      <c r="C4" s="307"/>
      <c r="D4" s="799"/>
      <c r="E4" s="800"/>
      <c r="F4" s="789" t="s">
        <v>41</v>
      </c>
      <c r="G4" s="685"/>
      <c r="H4" s="685"/>
      <c r="I4" s="685"/>
      <c r="J4" s="685"/>
      <c r="K4" s="685"/>
      <c r="L4" s="685"/>
      <c r="M4" s="685"/>
    </row>
    <row r="5" spans="2:13" ht="24.75" customHeight="1">
      <c r="B5" s="167"/>
      <c r="C5" s="307"/>
      <c r="D5" s="799"/>
      <c r="E5" s="800"/>
      <c r="F5" s="789"/>
      <c r="G5" s="685"/>
      <c r="H5" s="685"/>
      <c r="I5" s="685"/>
      <c r="J5" s="685"/>
      <c r="K5" s="685"/>
      <c r="L5" s="685"/>
      <c r="M5" s="685"/>
    </row>
    <row r="6" spans="2:13" ht="24.75" customHeight="1">
      <c r="B6" s="167"/>
      <c r="C6" s="307"/>
      <c r="D6" s="799"/>
      <c r="E6" s="800"/>
      <c r="F6" s="790" t="s">
        <v>29</v>
      </c>
      <c r="G6" s="686"/>
      <c r="H6" s="686"/>
      <c r="I6" s="686"/>
      <c r="J6" s="686"/>
      <c r="K6" s="686"/>
      <c r="L6" s="686"/>
      <c r="M6" s="686"/>
    </row>
    <row r="7" spans="2:13" ht="24.75" customHeight="1">
      <c r="B7" s="168"/>
      <c r="C7" s="309"/>
      <c r="D7" s="801"/>
      <c r="E7" s="802"/>
      <c r="F7" s="790"/>
      <c r="G7" s="686"/>
      <c r="H7" s="686"/>
      <c r="I7" s="686"/>
      <c r="J7" s="686"/>
      <c r="K7" s="686"/>
      <c r="L7" s="686"/>
      <c r="M7" s="686"/>
    </row>
    <row r="8" spans="2:13" ht="7.5" customHeight="1">
      <c r="B8" s="40"/>
      <c r="C8" s="40"/>
      <c r="D8" s="40"/>
      <c r="E8" s="40"/>
      <c r="F8" s="40"/>
      <c r="G8" s="40"/>
      <c r="H8" s="41"/>
      <c r="I8" s="41"/>
      <c r="J8" s="41"/>
      <c r="K8" s="41"/>
      <c r="L8" s="41"/>
      <c r="M8" s="41"/>
    </row>
    <row r="9" spans="2:13" ht="30" customHeight="1">
      <c r="B9" s="780" t="s">
        <v>757</v>
      </c>
      <c r="C9" s="780"/>
      <c r="D9" s="780"/>
      <c r="E9" s="780"/>
      <c r="F9" s="791" t="s">
        <v>364</v>
      </c>
      <c r="G9" s="792"/>
      <c r="H9" s="792"/>
      <c r="I9" s="792"/>
      <c r="J9" s="792"/>
      <c r="K9" s="792"/>
      <c r="L9" s="792"/>
      <c r="M9" s="793"/>
    </row>
    <row r="10" spans="2:13" ht="30" customHeight="1">
      <c r="B10" s="779" t="s">
        <v>91</v>
      </c>
      <c r="C10" s="780"/>
      <c r="D10" s="780"/>
      <c r="E10" s="780"/>
      <c r="F10" s="794" t="str">
        <f>'Pl Orçamentária'!F10</f>
        <v>Data Base: Dezembro de 2015/Com Desoneração</v>
      </c>
      <c r="G10" s="795"/>
      <c r="H10" s="795"/>
      <c r="I10" s="795"/>
      <c r="J10" s="795"/>
      <c r="K10" s="795"/>
      <c r="L10" s="795"/>
      <c r="M10" s="796"/>
    </row>
    <row r="11" spans="2:13" ht="7.5" customHeight="1" thickBot="1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2:13" ht="34.5" customHeight="1" thickBot="1">
      <c r="B12" s="781" t="s">
        <v>48</v>
      </c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3"/>
    </row>
    <row r="13" spans="2:13" ht="7.5" customHeight="1" thickBo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2:13" ht="22.5" customHeight="1" thickBot="1">
      <c r="B14" s="200" t="s">
        <v>15</v>
      </c>
      <c r="C14" s="205" t="s">
        <v>16</v>
      </c>
      <c r="D14" s="205" t="s">
        <v>43</v>
      </c>
      <c r="E14" s="205" t="s">
        <v>49</v>
      </c>
      <c r="F14" s="206" t="s">
        <v>123</v>
      </c>
      <c r="G14" s="206" t="s">
        <v>124</v>
      </c>
      <c r="H14" s="206" t="s">
        <v>127</v>
      </c>
      <c r="I14" s="206" t="s">
        <v>50</v>
      </c>
      <c r="J14" s="206" t="s">
        <v>51</v>
      </c>
      <c r="K14" s="206" t="s">
        <v>52</v>
      </c>
      <c r="L14" s="206" t="s">
        <v>53</v>
      </c>
      <c r="M14" s="207" t="s">
        <v>14</v>
      </c>
    </row>
    <row r="15" spans="2:13" ht="7.5" customHeight="1" thickBot="1">
      <c r="B15" s="44"/>
      <c r="C15" s="44"/>
      <c r="D15" s="44"/>
      <c r="E15" s="44"/>
      <c r="F15" s="45"/>
      <c r="G15" s="45"/>
      <c r="H15" s="45"/>
      <c r="I15" s="45"/>
      <c r="J15" s="45"/>
      <c r="K15" s="45"/>
      <c r="L15" s="45"/>
      <c r="M15" s="45"/>
    </row>
    <row r="16" spans="2:13" ht="22.5" customHeight="1" thickBot="1">
      <c r="B16" s="200" t="str">
        <f>'Pl Orçamentária'!$B$17</f>
        <v>1.00</v>
      </c>
      <c r="C16" s="202" t="str">
        <f>VLOOKUP(B16,'Pl Orçamentária'!$B$17:$L$238,4,FALSE)</f>
        <v>SERVIÇOS PRELIMINARES</v>
      </c>
      <c r="D16" s="201"/>
      <c r="E16" s="202"/>
      <c r="F16" s="203"/>
      <c r="G16" s="203"/>
      <c r="H16" s="203"/>
      <c r="I16" s="203"/>
      <c r="J16" s="203"/>
      <c r="K16" s="203"/>
      <c r="L16" s="203"/>
      <c r="M16" s="204"/>
    </row>
    <row r="17" spans="2:13" ht="6" customHeight="1">
      <c r="B17" s="44"/>
      <c r="C17" s="169"/>
      <c r="D17" s="169"/>
      <c r="E17" s="44"/>
      <c r="F17" s="45"/>
      <c r="G17" s="45"/>
      <c r="H17" s="45"/>
      <c r="I17" s="45"/>
      <c r="J17" s="45"/>
      <c r="K17" s="45"/>
      <c r="L17" s="45"/>
      <c r="M17" s="45"/>
    </row>
    <row r="18" spans="2:13" ht="18" customHeight="1">
      <c r="B18" s="533" t="str">
        <f>'Pl Orçamentária'!B19</f>
        <v>1.1</v>
      </c>
      <c r="C18" s="535" t="str">
        <f>VLOOKUP(B18,'Pl Orçamentária'!$B$17:$L$238,4,FALSE)</f>
        <v>Placa da obra - 300 x 150</v>
      </c>
      <c r="D18" s="535" t="s">
        <v>33</v>
      </c>
      <c r="E18" s="163" t="s">
        <v>125</v>
      </c>
      <c r="F18" s="533"/>
      <c r="G18" s="533"/>
      <c r="H18" s="543"/>
      <c r="I18" s="359">
        <v>3</v>
      </c>
      <c r="J18" s="359">
        <v>1.5</v>
      </c>
      <c r="K18" s="359">
        <f>ROUND((I18*J18),2)</f>
        <v>4.5</v>
      </c>
      <c r="L18" s="164"/>
      <c r="M18" s="439">
        <f>K18</f>
        <v>4.5</v>
      </c>
    </row>
    <row r="19" spans="2:13" ht="18">
      <c r="B19" s="533" t="str">
        <f>'Pl Orçamentária'!B20</f>
        <v>1.2</v>
      </c>
      <c r="C19" s="535" t="str">
        <f>VLOOKUP(B19,'Pl Orçamentária'!$B$17:$L$238,4,FALSE)</f>
        <v>Limpeza manual de terreno</v>
      </c>
      <c r="D19" s="535" t="s">
        <v>33</v>
      </c>
      <c r="E19" s="163" t="s">
        <v>751</v>
      </c>
      <c r="F19" s="533"/>
      <c r="G19" s="533"/>
      <c r="H19" s="359">
        <v>50</v>
      </c>
      <c r="I19" s="359">
        <v>50</v>
      </c>
      <c r="J19" s="359"/>
      <c r="K19" s="359">
        <f>H19*I19-301.07</f>
        <v>2198.93</v>
      </c>
      <c r="L19" s="164"/>
      <c r="M19" s="439">
        <f>K19</f>
        <v>2198.93</v>
      </c>
    </row>
    <row r="20" spans="2:13" ht="6" customHeight="1" thickBot="1">
      <c r="B20" s="170"/>
      <c r="C20" s="171"/>
      <c r="D20" s="172"/>
      <c r="E20" s="173"/>
      <c r="F20" s="170"/>
      <c r="G20" s="170"/>
      <c r="H20" s="42"/>
      <c r="I20" s="174"/>
      <c r="J20" s="174"/>
      <c r="K20" s="174"/>
      <c r="L20" s="175"/>
      <c r="M20" s="176"/>
    </row>
    <row r="21" spans="2:13" ht="22.5" customHeight="1" thickBot="1">
      <c r="B21" s="200" t="str">
        <f>'Pl Orçamentária'!B22</f>
        <v>2.00</v>
      </c>
      <c r="C21" s="202" t="str">
        <f>VLOOKUP(B21,'Pl Orçamentária'!$B$17:$L$238,4,FALSE)</f>
        <v>RETIRADAS E DEMOLIÇÕES</v>
      </c>
      <c r="D21" s="201"/>
      <c r="E21" s="202"/>
      <c r="F21" s="203"/>
      <c r="G21" s="203"/>
      <c r="H21" s="203"/>
      <c r="I21" s="203"/>
      <c r="J21" s="203"/>
      <c r="K21" s="203"/>
      <c r="L21" s="203"/>
      <c r="M21" s="204"/>
    </row>
    <row r="22" spans="2:13" ht="6" customHeight="1">
      <c r="B22" s="44"/>
      <c r="C22" s="169"/>
      <c r="D22" s="169"/>
      <c r="E22" s="44"/>
      <c r="F22" s="45"/>
      <c r="G22" s="45"/>
      <c r="H22" s="45"/>
      <c r="I22" s="45"/>
      <c r="J22" s="45"/>
      <c r="K22" s="45"/>
      <c r="L22" s="45"/>
      <c r="M22" s="45"/>
    </row>
    <row r="23" spans="2:13" ht="18.75" customHeight="1">
      <c r="B23" s="530" t="str">
        <f>'Pl Orçamentária'!B24</f>
        <v>2.1</v>
      </c>
      <c r="C23" s="529" t="str">
        <f>VLOOKUP(B23,'Pl Orçamentária'!$B$17:$L$238,4,FALSE)</f>
        <v>Retirada de esquadrias metálicas</v>
      </c>
      <c r="D23" s="529" t="s">
        <v>33</v>
      </c>
      <c r="E23" s="483" t="s">
        <v>367</v>
      </c>
      <c r="F23" s="263"/>
      <c r="G23" s="441"/>
      <c r="H23" s="225"/>
      <c r="I23" s="225">
        <v>3</v>
      </c>
      <c r="J23" s="225">
        <v>1.8</v>
      </c>
      <c r="K23" s="340">
        <f>I23*J23</f>
        <v>5.4</v>
      </c>
      <c r="L23" s="440"/>
      <c r="M23" s="531">
        <f>SUM(K23:K23)</f>
        <v>5.4</v>
      </c>
    </row>
    <row r="24" spans="2:13" ht="18" customHeight="1">
      <c r="B24" s="726" t="str">
        <f>'Pl Orçamentária'!B25</f>
        <v>2.2</v>
      </c>
      <c r="C24" s="726" t="str">
        <f>VLOOKUP(B24,'Pl Orçamentária'!$B$17:$L$238,4,FALSE)</f>
        <v>Retirada de vidro</v>
      </c>
      <c r="D24" s="726" t="s">
        <v>33</v>
      </c>
      <c r="E24" s="483" t="s">
        <v>368</v>
      </c>
      <c r="F24" s="536">
        <v>2</v>
      </c>
      <c r="G24" s="477"/>
      <c r="H24" s="471"/>
      <c r="I24" s="225">
        <v>0.5</v>
      </c>
      <c r="J24" s="225">
        <v>1.6</v>
      </c>
      <c r="K24" s="340">
        <f>F24*I24*J24</f>
        <v>1.6</v>
      </c>
      <c r="L24" s="471"/>
      <c r="M24" s="732">
        <f>SUM(K24:K26)</f>
        <v>14.200000000000001</v>
      </c>
    </row>
    <row r="25" spans="2:13" ht="18" customHeight="1">
      <c r="B25" s="727"/>
      <c r="C25" s="727"/>
      <c r="D25" s="727"/>
      <c r="E25" s="442" t="s">
        <v>370</v>
      </c>
      <c r="F25" s="424">
        <v>1</v>
      </c>
      <c r="G25" s="478"/>
      <c r="H25" s="472"/>
      <c r="I25" s="333">
        <v>2</v>
      </c>
      <c r="J25" s="333">
        <v>2.1</v>
      </c>
      <c r="K25" s="341">
        <f>F25*I25*J25</f>
        <v>4.2</v>
      </c>
      <c r="L25" s="472"/>
      <c r="M25" s="733"/>
    </row>
    <row r="26" spans="2:13" ht="36">
      <c r="B26" s="727"/>
      <c r="C26" s="727"/>
      <c r="D26" s="727"/>
      <c r="E26" s="442" t="s">
        <v>369</v>
      </c>
      <c r="F26" s="485">
        <v>2</v>
      </c>
      <c r="G26" s="478"/>
      <c r="H26" s="333"/>
      <c r="I26" s="333">
        <v>2</v>
      </c>
      <c r="J26" s="333">
        <v>2.1</v>
      </c>
      <c r="K26" s="341">
        <f>F26*I26*J26</f>
        <v>8.4</v>
      </c>
      <c r="L26" s="333"/>
      <c r="M26" s="733"/>
    </row>
    <row r="27" spans="2:13" ht="18" customHeight="1">
      <c r="B27" s="729" t="str">
        <f>'Pl Orçamentária'!B26</f>
        <v>2.3</v>
      </c>
      <c r="C27" s="729" t="str">
        <f>VLOOKUP(B27,'Pl Orçamentária'!$B$17:$L$238,4,FALSE)</f>
        <v>Retirada de portas de madeira</v>
      </c>
      <c r="D27" s="729" t="s">
        <v>0</v>
      </c>
      <c r="E27" s="467" t="s">
        <v>387</v>
      </c>
      <c r="F27" s="330"/>
      <c r="G27" s="264"/>
      <c r="H27" s="330"/>
      <c r="I27" s="262"/>
      <c r="J27" s="328"/>
      <c r="K27" s="225"/>
      <c r="L27" s="225"/>
      <c r="M27" s="732">
        <f>SUM(F27:F55)</f>
        <v>28</v>
      </c>
    </row>
    <row r="28" spans="2:13" ht="18" customHeight="1">
      <c r="B28" s="730"/>
      <c r="C28" s="730"/>
      <c r="D28" s="730"/>
      <c r="E28" s="352" t="s">
        <v>261</v>
      </c>
      <c r="F28" s="369">
        <v>1</v>
      </c>
      <c r="G28" s="369"/>
      <c r="H28" s="47"/>
      <c r="I28" s="363"/>
      <c r="J28" s="46"/>
      <c r="K28" s="341"/>
      <c r="L28" s="333"/>
      <c r="M28" s="733"/>
    </row>
    <row r="29" spans="2:13" ht="18" customHeight="1">
      <c r="B29" s="730"/>
      <c r="C29" s="730"/>
      <c r="D29" s="730"/>
      <c r="E29" s="352" t="s">
        <v>371</v>
      </c>
      <c r="F29" s="369">
        <v>1</v>
      </c>
      <c r="G29" s="369"/>
      <c r="H29" s="47"/>
      <c r="I29" s="363"/>
      <c r="J29" s="46"/>
      <c r="K29" s="341"/>
      <c r="L29" s="333"/>
      <c r="M29" s="733"/>
    </row>
    <row r="30" spans="2:13" ht="18" customHeight="1">
      <c r="B30" s="730"/>
      <c r="C30" s="730"/>
      <c r="D30" s="730"/>
      <c r="E30" s="352" t="s">
        <v>372</v>
      </c>
      <c r="F30" s="369">
        <v>1</v>
      </c>
      <c r="G30" s="369"/>
      <c r="H30" s="47"/>
      <c r="I30" s="363"/>
      <c r="J30" s="46"/>
      <c r="K30" s="341"/>
      <c r="L30" s="333"/>
      <c r="M30" s="733"/>
    </row>
    <row r="31" spans="2:13" ht="18" customHeight="1">
      <c r="B31" s="730"/>
      <c r="C31" s="730"/>
      <c r="D31" s="730"/>
      <c r="E31" s="352" t="s">
        <v>262</v>
      </c>
      <c r="F31" s="369">
        <v>1</v>
      </c>
      <c r="G31" s="369"/>
      <c r="H31" s="47"/>
      <c r="I31" s="363"/>
      <c r="J31" s="46"/>
      <c r="K31" s="341"/>
      <c r="L31" s="333"/>
      <c r="M31" s="733"/>
    </row>
    <row r="32" spans="2:13" ht="18" customHeight="1">
      <c r="B32" s="730"/>
      <c r="C32" s="730"/>
      <c r="D32" s="730"/>
      <c r="E32" s="352" t="s">
        <v>373</v>
      </c>
      <c r="F32" s="369">
        <v>1</v>
      </c>
      <c r="G32" s="369"/>
      <c r="H32" s="47"/>
      <c r="I32" s="363"/>
      <c r="J32" s="46"/>
      <c r="K32" s="341"/>
      <c r="L32" s="333"/>
      <c r="M32" s="733"/>
    </row>
    <row r="33" spans="2:13" ht="18" customHeight="1">
      <c r="B33" s="730"/>
      <c r="C33" s="730"/>
      <c r="D33" s="730"/>
      <c r="E33" s="352" t="s">
        <v>374</v>
      </c>
      <c r="F33" s="369">
        <v>1</v>
      </c>
      <c r="G33" s="369"/>
      <c r="H33" s="47"/>
      <c r="I33" s="363"/>
      <c r="J33" s="46"/>
      <c r="K33" s="341"/>
      <c r="L33" s="333"/>
      <c r="M33" s="733"/>
    </row>
    <row r="34" spans="2:13" ht="18" customHeight="1">
      <c r="B34" s="730"/>
      <c r="C34" s="730"/>
      <c r="D34" s="730"/>
      <c r="E34" s="352" t="s">
        <v>375</v>
      </c>
      <c r="F34" s="369">
        <v>1</v>
      </c>
      <c r="G34" s="369"/>
      <c r="H34" s="47"/>
      <c r="I34" s="363"/>
      <c r="J34" s="46"/>
      <c r="K34" s="341"/>
      <c r="L34" s="333"/>
      <c r="M34" s="733"/>
    </row>
    <row r="35" spans="2:13" ht="18" customHeight="1">
      <c r="B35" s="730"/>
      <c r="C35" s="730"/>
      <c r="D35" s="730"/>
      <c r="E35" s="352" t="s">
        <v>263</v>
      </c>
      <c r="F35" s="369">
        <v>1</v>
      </c>
      <c r="G35" s="369"/>
      <c r="H35" s="47"/>
      <c r="I35" s="363"/>
      <c r="J35" s="46"/>
      <c r="K35" s="341"/>
      <c r="L35" s="333"/>
      <c r="M35" s="733"/>
    </row>
    <row r="36" spans="2:13" ht="18" customHeight="1">
      <c r="B36" s="730"/>
      <c r="C36" s="730"/>
      <c r="D36" s="730"/>
      <c r="E36" s="352" t="s">
        <v>376</v>
      </c>
      <c r="F36" s="369">
        <v>1</v>
      </c>
      <c r="G36" s="369"/>
      <c r="H36" s="47"/>
      <c r="I36" s="363"/>
      <c r="J36" s="46"/>
      <c r="K36" s="341"/>
      <c r="L36" s="333"/>
      <c r="M36" s="733"/>
    </row>
    <row r="37" spans="2:13" ht="18" customHeight="1">
      <c r="B37" s="730"/>
      <c r="C37" s="730"/>
      <c r="D37" s="730"/>
      <c r="E37" s="352" t="s">
        <v>264</v>
      </c>
      <c r="F37" s="369">
        <v>1</v>
      </c>
      <c r="G37" s="369"/>
      <c r="H37" s="47"/>
      <c r="I37" s="363"/>
      <c r="J37" s="46"/>
      <c r="K37" s="341"/>
      <c r="L37" s="333"/>
      <c r="M37" s="733"/>
    </row>
    <row r="38" spans="2:13" ht="18" customHeight="1">
      <c r="B38" s="730"/>
      <c r="C38" s="730"/>
      <c r="D38" s="730"/>
      <c r="E38" s="352" t="s">
        <v>377</v>
      </c>
      <c r="F38" s="369">
        <v>1</v>
      </c>
      <c r="G38" s="369"/>
      <c r="H38" s="47"/>
      <c r="I38" s="363"/>
      <c r="J38" s="46"/>
      <c r="K38" s="341"/>
      <c r="L38" s="333"/>
      <c r="M38" s="733"/>
    </row>
    <row r="39" spans="2:13" ht="18" customHeight="1">
      <c r="B39" s="730"/>
      <c r="C39" s="730"/>
      <c r="D39" s="730"/>
      <c r="E39" s="352" t="s">
        <v>378</v>
      </c>
      <c r="F39" s="369">
        <v>1</v>
      </c>
      <c r="G39" s="369"/>
      <c r="H39" s="47"/>
      <c r="I39" s="363"/>
      <c r="J39" s="46"/>
      <c r="K39" s="341"/>
      <c r="L39" s="333"/>
      <c r="M39" s="733"/>
    </row>
    <row r="40" spans="2:13" ht="18" customHeight="1">
      <c r="B40" s="730"/>
      <c r="C40" s="730"/>
      <c r="D40" s="730"/>
      <c r="E40" s="352" t="s">
        <v>379</v>
      </c>
      <c r="F40" s="369">
        <v>1</v>
      </c>
      <c r="G40" s="369"/>
      <c r="H40" s="47"/>
      <c r="I40" s="363"/>
      <c r="J40" s="46"/>
      <c r="K40" s="341"/>
      <c r="L40" s="333"/>
      <c r="M40" s="733"/>
    </row>
    <row r="41" spans="2:13" ht="18" customHeight="1">
      <c r="B41" s="730"/>
      <c r="C41" s="730"/>
      <c r="D41" s="730"/>
      <c r="E41" s="352" t="s">
        <v>380</v>
      </c>
      <c r="F41" s="369">
        <v>1</v>
      </c>
      <c r="G41" s="369"/>
      <c r="H41" s="47"/>
      <c r="I41" s="363"/>
      <c r="J41" s="46"/>
      <c r="K41" s="341"/>
      <c r="L41" s="333"/>
      <c r="M41" s="733"/>
    </row>
    <row r="42" spans="2:13" ht="18" customHeight="1">
      <c r="B42" s="730"/>
      <c r="C42" s="730"/>
      <c r="D42" s="730"/>
      <c r="E42" s="352" t="s">
        <v>381</v>
      </c>
      <c r="F42" s="369">
        <v>1</v>
      </c>
      <c r="G42" s="369"/>
      <c r="H42" s="47"/>
      <c r="I42" s="363"/>
      <c r="J42" s="46"/>
      <c r="K42" s="341"/>
      <c r="L42" s="333"/>
      <c r="M42" s="733"/>
    </row>
    <row r="43" spans="2:13" ht="18" customHeight="1">
      <c r="B43" s="730"/>
      <c r="C43" s="730"/>
      <c r="D43" s="730"/>
      <c r="E43" s="352" t="s">
        <v>382</v>
      </c>
      <c r="F43" s="369">
        <v>1</v>
      </c>
      <c r="G43" s="369"/>
      <c r="H43" s="47"/>
      <c r="I43" s="363"/>
      <c r="J43" s="46"/>
      <c r="K43" s="341"/>
      <c r="L43" s="333"/>
      <c r="M43" s="733"/>
    </row>
    <row r="44" spans="2:13" ht="18" customHeight="1">
      <c r="B44" s="730"/>
      <c r="C44" s="730"/>
      <c r="D44" s="730"/>
      <c r="E44" s="352" t="s">
        <v>383</v>
      </c>
      <c r="F44" s="369">
        <v>1</v>
      </c>
      <c r="G44" s="369"/>
      <c r="H44" s="47"/>
      <c r="I44" s="363"/>
      <c r="J44" s="46"/>
      <c r="K44" s="341"/>
      <c r="L44" s="333"/>
      <c r="M44" s="733"/>
    </row>
    <row r="45" spans="2:13" ht="18" customHeight="1">
      <c r="B45" s="730"/>
      <c r="C45" s="730"/>
      <c r="D45" s="730"/>
      <c r="E45" s="352" t="s">
        <v>382</v>
      </c>
      <c r="F45" s="369">
        <v>1</v>
      </c>
      <c r="G45" s="369"/>
      <c r="H45" s="47"/>
      <c r="I45" s="363"/>
      <c r="J45" s="46"/>
      <c r="K45" s="341"/>
      <c r="L45" s="333"/>
      <c r="M45" s="733"/>
    </row>
    <row r="46" spans="2:13" ht="18" customHeight="1">
      <c r="B46" s="730"/>
      <c r="C46" s="730"/>
      <c r="D46" s="730"/>
      <c r="E46" s="352" t="s">
        <v>382</v>
      </c>
      <c r="F46" s="369">
        <v>1</v>
      </c>
      <c r="G46" s="369"/>
      <c r="H46" s="47"/>
      <c r="I46" s="363"/>
      <c r="J46" s="46"/>
      <c r="K46" s="341"/>
      <c r="L46" s="333"/>
      <c r="M46" s="733"/>
    </row>
    <row r="47" spans="2:13" ht="18" customHeight="1">
      <c r="B47" s="730"/>
      <c r="C47" s="730"/>
      <c r="D47" s="730"/>
      <c r="E47" s="352" t="s">
        <v>384</v>
      </c>
      <c r="F47" s="369">
        <v>1</v>
      </c>
      <c r="G47" s="369"/>
      <c r="H47" s="47"/>
      <c r="I47" s="363"/>
      <c r="J47" s="46"/>
      <c r="K47" s="341"/>
      <c r="L47" s="333"/>
      <c r="M47" s="733"/>
    </row>
    <row r="48" spans="2:13" ht="18" customHeight="1">
      <c r="B48" s="730"/>
      <c r="C48" s="730"/>
      <c r="D48" s="730"/>
      <c r="E48" s="352" t="s">
        <v>385</v>
      </c>
      <c r="F48" s="369">
        <v>1</v>
      </c>
      <c r="G48" s="369"/>
      <c r="H48" s="47"/>
      <c r="I48" s="363"/>
      <c r="J48" s="46"/>
      <c r="K48" s="341"/>
      <c r="L48" s="333"/>
      <c r="M48" s="733"/>
    </row>
    <row r="49" spans="2:13" ht="18" customHeight="1">
      <c r="B49" s="730"/>
      <c r="C49" s="730"/>
      <c r="D49" s="730"/>
      <c r="E49" s="352" t="s">
        <v>386</v>
      </c>
      <c r="F49" s="369">
        <v>1</v>
      </c>
      <c r="G49" s="369"/>
      <c r="H49" s="47"/>
      <c r="I49" s="363"/>
      <c r="J49" s="46"/>
      <c r="K49" s="341"/>
      <c r="L49" s="333"/>
      <c r="M49" s="733"/>
    </row>
    <row r="50" spans="2:13" ht="18" customHeight="1">
      <c r="B50" s="730"/>
      <c r="C50" s="730"/>
      <c r="D50" s="730"/>
      <c r="E50" s="468" t="s">
        <v>388</v>
      </c>
      <c r="F50" s="369"/>
      <c r="G50" s="369"/>
      <c r="H50" s="47"/>
      <c r="I50" s="363"/>
      <c r="J50" s="46"/>
      <c r="K50" s="341"/>
      <c r="L50" s="333"/>
      <c r="M50" s="733"/>
    </row>
    <row r="51" spans="2:13" ht="18" customHeight="1">
      <c r="B51" s="730"/>
      <c r="C51" s="730"/>
      <c r="D51" s="730"/>
      <c r="E51" s="352" t="s">
        <v>88</v>
      </c>
      <c r="F51" s="369">
        <v>2</v>
      </c>
      <c r="G51" s="369"/>
      <c r="H51" s="47"/>
      <c r="I51" s="363"/>
      <c r="J51" s="46"/>
      <c r="K51" s="341"/>
      <c r="L51" s="333"/>
      <c r="M51" s="733"/>
    </row>
    <row r="52" spans="2:13" ht="18" customHeight="1">
      <c r="B52" s="730"/>
      <c r="C52" s="730"/>
      <c r="D52" s="730"/>
      <c r="E52" s="468" t="s">
        <v>389</v>
      </c>
      <c r="F52" s="369"/>
      <c r="G52" s="369"/>
      <c r="H52" s="47"/>
      <c r="I52" s="363"/>
      <c r="J52" s="46"/>
      <c r="K52" s="341"/>
      <c r="L52" s="333"/>
      <c r="M52" s="733"/>
    </row>
    <row r="53" spans="2:13" ht="18" customHeight="1">
      <c r="B53" s="730"/>
      <c r="C53" s="730"/>
      <c r="D53" s="730"/>
      <c r="E53" s="352" t="s">
        <v>88</v>
      </c>
      <c r="F53" s="369">
        <v>2</v>
      </c>
      <c r="G53" s="369"/>
      <c r="H53" s="47"/>
      <c r="I53" s="363"/>
      <c r="J53" s="46"/>
      <c r="K53" s="341"/>
      <c r="L53" s="333"/>
      <c r="M53" s="733"/>
    </row>
    <row r="54" spans="2:13" ht="18" customHeight="1">
      <c r="B54" s="730"/>
      <c r="C54" s="730"/>
      <c r="D54" s="730"/>
      <c r="E54" s="468" t="s">
        <v>390</v>
      </c>
      <c r="F54" s="369"/>
      <c r="G54" s="369"/>
      <c r="H54" s="47"/>
      <c r="I54" s="363"/>
      <c r="J54" s="46"/>
      <c r="K54" s="341"/>
      <c r="L54" s="333"/>
      <c r="M54" s="733"/>
    </row>
    <row r="55" spans="2:13" ht="18" customHeight="1">
      <c r="B55" s="730"/>
      <c r="C55" s="730"/>
      <c r="D55" s="730"/>
      <c r="E55" s="352" t="s">
        <v>266</v>
      </c>
      <c r="F55" s="369">
        <v>2</v>
      </c>
      <c r="G55" s="369"/>
      <c r="H55" s="47"/>
      <c r="I55" s="363"/>
      <c r="J55" s="46"/>
      <c r="K55" s="341"/>
      <c r="L55" s="333"/>
      <c r="M55" s="733"/>
    </row>
    <row r="56" spans="2:13" ht="18">
      <c r="B56" s="729" t="str">
        <f>'Pl Orçamentária'!B27</f>
        <v>2.4</v>
      </c>
      <c r="C56" s="729" t="str">
        <f>VLOOKUP(B56,'Pl Orçamentária'!$B$17:$L$238,4,FALSE)</f>
        <v>Retirada de batentes de madeira</v>
      </c>
      <c r="D56" s="729" t="s">
        <v>0</v>
      </c>
      <c r="E56" s="242" t="str">
        <f>E27</f>
        <v>Porta 80x210 cm</v>
      </c>
      <c r="F56" s="372">
        <f>SUM(F28:F49)</f>
        <v>22</v>
      </c>
      <c r="G56" s="225"/>
      <c r="H56" s="328"/>
      <c r="I56" s="225"/>
      <c r="J56" s="328"/>
      <c r="K56" s="340"/>
      <c r="L56" s="225"/>
      <c r="M56" s="732">
        <f>SUM(F56:F59)</f>
        <v>28</v>
      </c>
    </row>
    <row r="57" spans="2:13" ht="18">
      <c r="B57" s="730"/>
      <c r="C57" s="730"/>
      <c r="D57" s="730"/>
      <c r="E57" s="334" t="str">
        <f>E50</f>
        <v>Porta 120x210 cm</v>
      </c>
      <c r="F57" s="369">
        <f>F51</f>
        <v>2</v>
      </c>
      <c r="G57" s="472"/>
      <c r="H57" s="46"/>
      <c r="I57" s="333"/>
      <c r="J57" s="46"/>
      <c r="K57" s="341"/>
      <c r="L57" s="333"/>
      <c r="M57" s="733"/>
    </row>
    <row r="58" spans="2:13" ht="18">
      <c r="B58" s="730"/>
      <c r="C58" s="730"/>
      <c r="D58" s="730"/>
      <c r="E58" s="334" t="str">
        <f>E52</f>
        <v>Porta 150x210 cm</v>
      </c>
      <c r="F58" s="369">
        <f>F53</f>
        <v>2</v>
      </c>
      <c r="G58" s="472"/>
      <c r="H58" s="46"/>
      <c r="I58" s="333"/>
      <c r="J58" s="46"/>
      <c r="K58" s="341"/>
      <c r="L58" s="333"/>
      <c r="M58" s="733"/>
    </row>
    <row r="59" spans="2:13" ht="18">
      <c r="B59" s="730"/>
      <c r="C59" s="730"/>
      <c r="D59" s="730"/>
      <c r="E59" s="334" t="str">
        <f>E54</f>
        <v>Porta 200x210 cm</v>
      </c>
      <c r="F59" s="369">
        <f>F55</f>
        <v>2</v>
      </c>
      <c r="G59" s="472"/>
      <c r="H59" s="46"/>
      <c r="I59" s="333"/>
      <c r="J59" s="46"/>
      <c r="K59" s="341"/>
      <c r="L59" s="333"/>
      <c r="M59" s="733"/>
    </row>
    <row r="60" spans="2:13" ht="18">
      <c r="B60" s="729" t="str">
        <f>'Pl Orçamentária'!B28</f>
        <v>2.5</v>
      </c>
      <c r="C60" s="729" t="str">
        <f>VLOOKUP(B60,'Pl Orçamentária'!$B$17:$L$238,4,FALSE)</f>
        <v>Demolição de piso cerâmico</v>
      </c>
      <c r="D60" s="729"/>
      <c r="E60" s="343" t="s">
        <v>391</v>
      </c>
      <c r="F60" s="475"/>
      <c r="G60" s="225"/>
      <c r="H60" s="328"/>
      <c r="I60" s="225"/>
      <c r="J60" s="328"/>
      <c r="K60" s="340">
        <v>1.42</v>
      </c>
      <c r="L60" s="225"/>
      <c r="M60" s="732">
        <f>SUM(K60:K61)</f>
        <v>2.84</v>
      </c>
    </row>
    <row r="61" spans="2:13" ht="18">
      <c r="B61" s="730"/>
      <c r="C61" s="730"/>
      <c r="D61" s="730"/>
      <c r="E61" s="352" t="s">
        <v>381</v>
      </c>
      <c r="F61" s="476"/>
      <c r="G61" s="333"/>
      <c r="H61" s="46"/>
      <c r="I61" s="333"/>
      <c r="J61" s="46"/>
      <c r="K61" s="341">
        <v>1.42</v>
      </c>
      <c r="L61" s="333"/>
      <c r="M61" s="733"/>
    </row>
    <row r="62" spans="2:13" ht="18" customHeight="1">
      <c r="B62" s="534" t="str">
        <f>'Pl Orçamentária'!B29</f>
        <v>2.6</v>
      </c>
      <c r="C62" s="534" t="str">
        <f>VLOOKUP(B62,'Pl Orçamentária'!$B$17:$L$238,4,FALSE)</f>
        <v>Demolição de alvenaria de tijolos furados s/reaproveitamento</v>
      </c>
      <c r="D62" s="534" t="s">
        <v>33</v>
      </c>
      <c r="E62" s="379" t="s">
        <v>392</v>
      </c>
      <c r="F62" s="337"/>
      <c r="G62" s="371"/>
      <c r="H62" s="328">
        <v>1.2</v>
      </c>
      <c r="I62" s="359">
        <v>0.15</v>
      </c>
      <c r="J62" s="225">
        <v>0.5</v>
      </c>
      <c r="K62" s="371"/>
      <c r="L62" s="225">
        <f>H62*I62*J62</f>
        <v>0.09</v>
      </c>
      <c r="M62" s="532">
        <f>SUM(L62:L62)</f>
        <v>0.09</v>
      </c>
    </row>
    <row r="63" spans="2:13" ht="18">
      <c r="B63" s="473" t="str">
        <f>'Pl Orçamentária'!B30</f>
        <v>2.7</v>
      </c>
      <c r="C63" s="474" t="str">
        <f>VLOOKUP(B63,'Pl Orçamentária'!$B$17:$L$238,4,FALSE)</f>
        <v>Retirada de telha metálica</v>
      </c>
      <c r="D63" s="474" t="s">
        <v>33</v>
      </c>
      <c r="E63" s="163"/>
      <c r="F63" s="473"/>
      <c r="G63" s="473"/>
      <c r="H63" s="359"/>
      <c r="I63" s="359"/>
      <c r="J63" s="359"/>
      <c r="K63" s="359">
        <v>420.21</v>
      </c>
      <c r="L63" s="164"/>
      <c r="M63" s="439">
        <f>K63</f>
        <v>420.21</v>
      </c>
    </row>
    <row r="64" spans="2:13" ht="18" customHeight="1">
      <c r="B64" s="726" t="str">
        <f>'Pl Orçamentária'!B31</f>
        <v>2.8</v>
      </c>
      <c r="C64" s="729" t="str">
        <f>VLOOKUP(B64,'Pl Orçamentária'!$B$17:$L$238,4,FALSE)</f>
        <v>Carga manual de entulho em caminhão basculante 6 m³</v>
      </c>
      <c r="D64" s="726" t="s">
        <v>54</v>
      </c>
      <c r="E64" s="379" t="str">
        <f>C23</f>
        <v>Retirada de esquadrias metálicas</v>
      </c>
      <c r="F64" s="337"/>
      <c r="G64" s="371"/>
      <c r="H64" s="337"/>
      <c r="I64" s="371"/>
      <c r="J64" s="328">
        <v>0.03</v>
      </c>
      <c r="K64" s="340">
        <f>M23</f>
        <v>5.4</v>
      </c>
      <c r="L64" s="225">
        <f>J64*K64</f>
        <v>0.162</v>
      </c>
      <c r="M64" s="765">
        <f>SUM(L64:L70)*1.5</f>
        <v>12.6528</v>
      </c>
    </row>
    <row r="65" spans="2:13" ht="18" customHeight="1">
      <c r="B65" s="727"/>
      <c r="C65" s="730"/>
      <c r="D65" s="727"/>
      <c r="E65" s="484" t="str">
        <f>C24</f>
        <v>Retirada de vidro</v>
      </c>
      <c r="F65" s="39"/>
      <c r="G65" s="366"/>
      <c r="H65" s="39"/>
      <c r="I65" s="366"/>
      <c r="J65" s="46">
        <v>0.006</v>
      </c>
      <c r="K65" s="341">
        <f>M24</f>
        <v>14.200000000000001</v>
      </c>
      <c r="L65" s="333">
        <f>J65*K65</f>
        <v>0.08520000000000001</v>
      </c>
      <c r="M65" s="766"/>
    </row>
    <row r="66" spans="2:13" ht="18" customHeight="1">
      <c r="B66" s="727"/>
      <c r="C66" s="730"/>
      <c r="D66" s="727"/>
      <c r="E66" s="484" t="str">
        <f>C27</f>
        <v>Retirada de portas de madeira</v>
      </c>
      <c r="F66" s="46">
        <f>M27</f>
        <v>28</v>
      </c>
      <c r="G66" s="366"/>
      <c r="H66" s="333">
        <v>0.8</v>
      </c>
      <c r="I66" s="46">
        <v>0.03</v>
      </c>
      <c r="J66" s="333">
        <v>2.1</v>
      </c>
      <c r="K66" s="341"/>
      <c r="L66" s="333">
        <f>F66*H66*I66*J66</f>
        <v>1.4112000000000002</v>
      </c>
      <c r="M66" s="766"/>
    </row>
    <row r="67" spans="2:13" ht="18" customHeight="1">
      <c r="B67" s="727"/>
      <c r="C67" s="730"/>
      <c r="D67" s="727"/>
      <c r="E67" s="484" t="str">
        <f>C56</f>
        <v>Retirada de batentes de madeira</v>
      </c>
      <c r="F67" s="46">
        <f>M56</f>
        <v>28</v>
      </c>
      <c r="G67" s="366"/>
      <c r="H67" s="333">
        <f>2.1*2+0.8</f>
        <v>5</v>
      </c>
      <c r="I67" s="46">
        <v>0.03</v>
      </c>
      <c r="J67" s="333">
        <v>0.15</v>
      </c>
      <c r="K67" s="341"/>
      <c r="L67" s="333">
        <f>F67*H67*I67*J67</f>
        <v>0.63</v>
      </c>
      <c r="M67" s="766"/>
    </row>
    <row r="68" spans="2:13" ht="18" customHeight="1">
      <c r="B68" s="727"/>
      <c r="C68" s="730"/>
      <c r="D68" s="727"/>
      <c r="E68" s="484" t="str">
        <f>C60</f>
        <v>Demolição de piso cerâmico</v>
      </c>
      <c r="F68" s="46"/>
      <c r="G68" s="366"/>
      <c r="H68" s="39"/>
      <c r="I68" s="366"/>
      <c r="J68" s="46">
        <v>0.02</v>
      </c>
      <c r="K68" s="341">
        <f>M60</f>
        <v>2.84</v>
      </c>
      <c r="L68" s="333">
        <f>J68*K68</f>
        <v>0.056799999999999996</v>
      </c>
      <c r="M68" s="766"/>
    </row>
    <row r="69" spans="2:13" ht="18" customHeight="1">
      <c r="B69" s="727"/>
      <c r="C69" s="730"/>
      <c r="D69" s="727"/>
      <c r="E69" s="484" t="s">
        <v>287</v>
      </c>
      <c r="F69" s="46"/>
      <c r="G69" s="366"/>
      <c r="H69" s="39"/>
      <c r="I69" s="366"/>
      <c r="J69" s="46"/>
      <c r="K69" s="341"/>
      <c r="L69" s="333">
        <f>M62</f>
        <v>0.09</v>
      </c>
      <c r="M69" s="766"/>
    </row>
    <row r="70" spans="2:13" ht="18">
      <c r="B70" s="728"/>
      <c r="C70" s="731"/>
      <c r="D70" s="728"/>
      <c r="E70" s="423" t="s">
        <v>292</v>
      </c>
      <c r="F70" s="461"/>
      <c r="G70" s="460"/>
      <c r="H70" s="461"/>
      <c r="I70" s="460"/>
      <c r="J70" s="329"/>
      <c r="K70" s="342"/>
      <c r="L70" s="224">
        <v>6</v>
      </c>
      <c r="M70" s="767"/>
    </row>
    <row r="71" spans="2:13" ht="54.75" thickBot="1">
      <c r="B71" s="444" t="str">
        <f>'Pl Orçamentária'!B32</f>
        <v>2.9</v>
      </c>
      <c r="C71" s="445" t="str">
        <f>VLOOKUP(B71,'Pl Orçamentária'!$B$17:$L$238,4,FALSE)</f>
        <v>Transporte local com caminhão basculante 6 m3, rodovia pavimentada (para distancias superiores a 4 km)</v>
      </c>
      <c r="D71" s="444" t="s">
        <v>251</v>
      </c>
      <c r="E71" s="229"/>
      <c r="F71" s="327"/>
      <c r="G71" s="327"/>
      <c r="H71" s="224">
        <v>5</v>
      </c>
      <c r="I71" s="224"/>
      <c r="J71" s="224"/>
      <c r="K71" s="327"/>
      <c r="L71" s="224">
        <f>H71*M64</f>
        <v>63.263999999999996</v>
      </c>
      <c r="M71" s="418">
        <f>L71</f>
        <v>63.263999999999996</v>
      </c>
    </row>
    <row r="72" spans="2:13" ht="7.5" customHeight="1" thickBot="1">
      <c r="B72" s="53"/>
      <c r="C72" s="52"/>
      <c r="D72" s="51"/>
      <c r="E72" s="49"/>
      <c r="F72" s="50"/>
      <c r="G72" s="50"/>
      <c r="H72" s="79"/>
      <c r="I72" s="50"/>
      <c r="J72" s="50"/>
      <c r="K72" s="79"/>
      <c r="L72" s="50"/>
      <c r="M72" s="148"/>
    </row>
    <row r="73" spans="2:13" ht="22.5" customHeight="1" thickBot="1">
      <c r="B73" s="212" t="str">
        <f>'Pl Orçamentária'!B34</f>
        <v>3.00</v>
      </c>
      <c r="C73" s="358" t="str">
        <f>VLOOKUP(B73,'Pl Orçamentária'!$B$17:$L$238,4,FALSE)</f>
        <v>COBERTURA</v>
      </c>
      <c r="D73" s="201"/>
      <c r="E73" s="202"/>
      <c r="F73" s="203"/>
      <c r="G73" s="203"/>
      <c r="H73" s="203"/>
      <c r="I73" s="203"/>
      <c r="J73" s="203"/>
      <c r="K73" s="203"/>
      <c r="L73" s="203"/>
      <c r="M73" s="204"/>
    </row>
    <row r="74" spans="2:13" ht="7.5" customHeight="1">
      <c r="B74" s="78"/>
      <c r="C74" s="51"/>
      <c r="D74" s="51"/>
      <c r="E74" s="78"/>
      <c r="F74" s="50"/>
      <c r="G74" s="50"/>
      <c r="H74" s="50"/>
      <c r="I74" s="50"/>
      <c r="J74" s="50"/>
      <c r="K74" s="50"/>
      <c r="L74" s="50"/>
      <c r="M74" s="50"/>
    </row>
    <row r="75" spans="2:13" ht="54">
      <c r="B75" s="447" t="str">
        <f>'Pl Orçamentária'!B36</f>
        <v>3.1</v>
      </c>
      <c r="C75" s="447" t="str">
        <f>VLOOKUP(B75,'Pl Orçamentária'!$B$17:$L$238,4,FALSE)</f>
        <v>Cobertura com telha de aço zincado, trapezoidal, espessura de 0,5 mm,incluindo acessórios</v>
      </c>
      <c r="D75" s="524" t="s">
        <v>33</v>
      </c>
      <c r="E75" s="242"/>
      <c r="F75" s="326"/>
      <c r="G75" s="326"/>
      <c r="H75" s="225"/>
      <c r="I75" s="326"/>
      <c r="J75" s="421"/>
      <c r="K75" s="326">
        <f>M63</f>
        <v>420.21</v>
      </c>
      <c r="L75" s="378"/>
      <c r="M75" s="523">
        <f>SUM(K75:K75)</f>
        <v>420.21</v>
      </c>
    </row>
    <row r="76" spans="2:13" ht="18">
      <c r="B76" s="210" t="str">
        <f>'Pl Orçamentária'!B37</f>
        <v>3.2</v>
      </c>
      <c r="C76" s="210" t="str">
        <f>VLOOKUP(B76,'Pl Orçamentária'!$B$17:$L$238,4,FALSE)</f>
        <v>Cumeeira metálica</v>
      </c>
      <c r="D76" s="525" t="s">
        <v>28</v>
      </c>
      <c r="E76" s="208"/>
      <c r="F76" s="165"/>
      <c r="G76" s="165"/>
      <c r="H76" s="359">
        <v>35.57</v>
      </c>
      <c r="I76" s="165"/>
      <c r="J76" s="528"/>
      <c r="K76" s="165"/>
      <c r="L76" s="351"/>
      <c r="M76" s="357">
        <f>H76</f>
        <v>35.57</v>
      </c>
    </row>
    <row r="77" spans="2:13" ht="7.5" customHeight="1" thickBot="1">
      <c r="B77" s="53"/>
      <c r="C77" s="52"/>
      <c r="D77" s="51"/>
      <c r="E77" s="49"/>
      <c r="F77" s="50"/>
      <c r="G77" s="50"/>
      <c r="H77" s="79"/>
      <c r="I77" s="50"/>
      <c r="J77" s="50"/>
      <c r="K77" s="79"/>
      <c r="L77" s="50"/>
      <c r="M77" s="148"/>
    </row>
    <row r="78" spans="2:13" ht="22.5" customHeight="1" thickBot="1">
      <c r="B78" s="212" t="str">
        <f>'Pl Orçamentária'!B39</f>
        <v>4.00</v>
      </c>
      <c r="C78" s="213" t="str">
        <f>VLOOKUP(B78,'Pl Orçamentária'!$B$17:$L$238,4,FALSE)</f>
        <v>ESQUADRIAS</v>
      </c>
      <c r="D78" s="201"/>
      <c r="E78" s="202"/>
      <c r="F78" s="203"/>
      <c r="G78" s="203"/>
      <c r="H78" s="203"/>
      <c r="I78" s="203"/>
      <c r="J78" s="203"/>
      <c r="K78" s="203"/>
      <c r="L78" s="203"/>
      <c r="M78" s="204"/>
    </row>
    <row r="79" spans="2:13" ht="7.5" customHeight="1">
      <c r="B79" s="78"/>
      <c r="C79" s="51"/>
      <c r="D79" s="51"/>
      <c r="E79" s="78"/>
      <c r="F79" s="50"/>
      <c r="G79" s="50"/>
      <c r="H79" s="50"/>
      <c r="I79" s="50"/>
      <c r="J79" s="50"/>
      <c r="K79" s="50"/>
      <c r="L79" s="50"/>
      <c r="M79" s="50"/>
    </row>
    <row r="80" spans="2:13" ht="22.5" customHeight="1">
      <c r="B80" s="233" t="str">
        <f>'Pl Orçamentária'!B41</f>
        <v>4.1</v>
      </c>
      <c r="C80" s="234" t="str">
        <f>VLOOKUP(B80,'Pl Orçamentária'!$B$17:$L$238,4,FALSE)</f>
        <v>ESQUADRIAS DE MADEIRA</v>
      </c>
      <c r="D80" s="235"/>
      <c r="E80" s="236"/>
      <c r="F80" s="237"/>
      <c r="G80" s="237"/>
      <c r="H80" s="237"/>
      <c r="I80" s="237"/>
      <c r="J80" s="237"/>
      <c r="K80" s="237"/>
      <c r="L80" s="237"/>
      <c r="M80" s="238"/>
    </row>
    <row r="81" spans="2:13" ht="7.5" customHeight="1">
      <c r="B81" s="78"/>
      <c r="C81" s="51"/>
      <c r="D81" s="51"/>
      <c r="E81" s="78"/>
      <c r="F81" s="50"/>
      <c r="G81" s="50"/>
      <c r="H81" s="50"/>
      <c r="I81" s="50"/>
      <c r="J81" s="50"/>
      <c r="K81" s="50"/>
      <c r="L81" s="50"/>
      <c r="M81" s="50"/>
    </row>
    <row r="82" spans="2:13" ht="18" customHeight="1">
      <c r="B82" s="749" t="str">
        <f>'Pl Orçamentária'!B43</f>
        <v>4.1.1</v>
      </c>
      <c r="C82" s="763" t="str">
        <f>VLOOKUP(B82,'Pl Orçamentária'!$B$17:$L$238,4,FALSE)</f>
        <v>Porta de madeira compensada lisa, 60x210x3,5cm, incluso aduela 2A, alizar 2A e dobradiças</v>
      </c>
      <c r="D82" s="749" t="s">
        <v>55</v>
      </c>
      <c r="E82" s="450" t="s">
        <v>391</v>
      </c>
      <c r="F82" s="225">
        <v>1</v>
      </c>
      <c r="G82" s="448"/>
      <c r="H82" s="225"/>
      <c r="I82" s="328"/>
      <c r="J82" s="225"/>
      <c r="K82" s="328"/>
      <c r="L82" s="225"/>
      <c r="M82" s="746">
        <f>SUM(F82:F83)</f>
        <v>2</v>
      </c>
    </row>
    <row r="83" spans="2:13" ht="18" customHeight="1">
      <c r="B83" s="770"/>
      <c r="C83" s="764"/>
      <c r="D83" s="770"/>
      <c r="E83" s="426" t="s">
        <v>381</v>
      </c>
      <c r="F83" s="333">
        <v>1</v>
      </c>
      <c r="G83" s="476"/>
      <c r="H83" s="333"/>
      <c r="I83" s="46"/>
      <c r="J83" s="333"/>
      <c r="K83" s="46"/>
      <c r="L83" s="333"/>
      <c r="M83" s="747"/>
    </row>
    <row r="84" spans="2:13" ht="18" customHeight="1">
      <c r="B84" s="726" t="str">
        <f>'Pl Orçamentária'!B44</f>
        <v>4.1.2</v>
      </c>
      <c r="C84" s="729" t="str">
        <f>VLOOKUP(B84,'Pl Orçamentária'!$B$17:$L$238,4,FALSE)</f>
        <v>Porta de madeira compensada lisa 80x210x3,5cm, incluso aduela, alizar e dobradicas </v>
      </c>
      <c r="D84" s="726" t="s">
        <v>55</v>
      </c>
      <c r="E84" s="574" t="s">
        <v>261</v>
      </c>
      <c r="F84" s="225">
        <v>1</v>
      </c>
      <c r="G84" s="540"/>
      <c r="H84" s="225"/>
      <c r="I84" s="328"/>
      <c r="J84" s="225"/>
      <c r="K84" s="328"/>
      <c r="L84" s="225"/>
      <c r="M84" s="732">
        <f>SUM(F84:F108)</f>
        <v>25</v>
      </c>
    </row>
    <row r="85" spans="2:13" ht="18" customHeight="1">
      <c r="B85" s="727"/>
      <c r="C85" s="730"/>
      <c r="D85" s="727"/>
      <c r="E85" s="54" t="s">
        <v>371</v>
      </c>
      <c r="F85" s="333">
        <v>1</v>
      </c>
      <c r="G85" s="541"/>
      <c r="H85" s="333"/>
      <c r="I85" s="46"/>
      <c r="J85" s="333"/>
      <c r="K85" s="46"/>
      <c r="L85" s="333"/>
      <c r="M85" s="733"/>
    </row>
    <row r="86" spans="2:13" ht="18" customHeight="1">
      <c r="B86" s="727"/>
      <c r="C86" s="730"/>
      <c r="D86" s="727"/>
      <c r="E86" s="54" t="s">
        <v>372</v>
      </c>
      <c r="F86" s="333">
        <v>1</v>
      </c>
      <c r="G86" s="541"/>
      <c r="H86" s="333"/>
      <c r="I86" s="46"/>
      <c r="J86" s="333"/>
      <c r="K86" s="46"/>
      <c r="L86" s="333"/>
      <c r="M86" s="733"/>
    </row>
    <row r="87" spans="2:13" ht="18" customHeight="1">
      <c r="B87" s="727"/>
      <c r="C87" s="730"/>
      <c r="D87" s="727"/>
      <c r="E87" s="54" t="s">
        <v>262</v>
      </c>
      <c r="F87" s="333">
        <v>1</v>
      </c>
      <c r="G87" s="541"/>
      <c r="H87" s="333"/>
      <c r="I87" s="46"/>
      <c r="J87" s="333"/>
      <c r="K87" s="46"/>
      <c r="L87" s="333"/>
      <c r="M87" s="733"/>
    </row>
    <row r="88" spans="2:13" ht="18" customHeight="1">
      <c r="B88" s="727"/>
      <c r="C88" s="730"/>
      <c r="D88" s="727"/>
      <c r="E88" s="54" t="s">
        <v>373</v>
      </c>
      <c r="F88" s="333">
        <v>1</v>
      </c>
      <c r="G88" s="541"/>
      <c r="H88" s="333"/>
      <c r="I88" s="46"/>
      <c r="J88" s="333"/>
      <c r="K88" s="46"/>
      <c r="L88" s="333"/>
      <c r="M88" s="733"/>
    </row>
    <row r="89" spans="2:13" ht="18" customHeight="1">
      <c r="B89" s="727"/>
      <c r="C89" s="730"/>
      <c r="D89" s="727"/>
      <c r="E89" s="54" t="s">
        <v>374</v>
      </c>
      <c r="F89" s="333">
        <v>1</v>
      </c>
      <c r="G89" s="541"/>
      <c r="H89" s="333"/>
      <c r="I89" s="46"/>
      <c r="J89" s="333"/>
      <c r="K89" s="46"/>
      <c r="L89" s="333"/>
      <c r="M89" s="733"/>
    </row>
    <row r="90" spans="2:13" ht="18" customHeight="1">
      <c r="B90" s="727"/>
      <c r="C90" s="730"/>
      <c r="D90" s="727"/>
      <c r="E90" s="54" t="s">
        <v>375</v>
      </c>
      <c r="F90" s="333">
        <v>1</v>
      </c>
      <c r="G90" s="541"/>
      <c r="H90" s="333"/>
      <c r="I90" s="46"/>
      <c r="J90" s="333"/>
      <c r="K90" s="46"/>
      <c r="L90" s="333"/>
      <c r="M90" s="733"/>
    </row>
    <row r="91" spans="2:13" ht="18" customHeight="1">
      <c r="B91" s="727"/>
      <c r="C91" s="730"/>
      <c r="D91" s="727"/>
      <c r="E91" s="54" t="s">
        <v>263</v>
      </c>
      <c r="F91" s="333">
        <v>1</v>
      </c>
      <c r="G91" s="541"/>
      <c r="H91" s="333"/>
      <c r="I91" s="46"/>
      <c r="J91" s="333"/>
      <c r="K91" s="46"/>
      <c r="L91" s="333"/>
      <c r="M91" s="733"/>
    </row>
    <row r="92" spans="2:13" ht="18" customHeight="1">
      <c r="B92" s="727"/>
      <c r="C92" s="730"/>
      <c r="D92" s="727"/>
      <c r="E92" s="54" t="s">
        <v>376</v>
      </c>
      <c r="F92" s="333">
        <v>1</v>
      </c>
      <c r="G92" s="541"/>
      <c r="H92" s="333"/>
      <c r="I92" s="46"/>
      <c r="J92" s="333"/>
      <c r="K92" s="46"/>
      <c r="L92" s="333"/>
      <c r="M92" s="733"/>
    </row>
    <row r="93" spans="2:13" ht="18" customHeight="1">
      <c r="B93" s="727"/>
      <c r="C93" s="730"/>
      <c r="D93" s="727"/>
      <c r="E93" s="54" t="s">
        <v>264</v>
      </c>
      <c r="F93" s="333">
        <v>1</v>
      </c>
      <c r="G93" s="541"/>
      <c r="H93" s="333"/>
      <c r="I93" s="46"/>
      <c r="J93" s="333"/>
      <c r="K93" s="46"/>
      <c r="L93" s="333"/>
      <c r="M93" s="733"/>
    </row>
    <row r="94" spans="2:13" ht="18" customHeight="1">
      <c r="B94" s="727"/>
      <c r="C94" s="730"/>
      <c r="D94" s="727"/>
      <c r="E94" s="54" t="s">
        <v>377</v>
      </c>
      <c r="F94" s="333">
        <v>1</v>
      </c>
      <c r="G94" s="541"/>
      <c r="H94" s="333"/>
      <c r="I94" s="46"/>
      <c r="J94" s="333"/>
      <c r="K94" s="46"/>
      <c r="L94" s="333"/>
      <c r="M94" s="733"/>
    </row>
    <row r="95" spans="2:13" ht="18" customHeight="1">
      <c r="B95" s="727"/>
      <c r="C95" s="730"/>
      <c r="D95" s="727"/>
      <c r="E95" s="54" t="s">
        <v>378</v>
      </c>
      <c r="F95" s="333">
        <v>1</v>
      </c>
      <c r="G95" s="541"/>
      <c r="H95" s="333"/>
      <c r="I95" s="46"/>
      <c r="J95" s="333"/>
      <c r="K95" s="46"/>
      <c r="L95" s="333"/>
      <c r="M95" s="733"/>
    </row>
    <row r="96" spans="2:13" ht="18" customHeight="1">
      <c r="B96" s="727"/>
      <c r="C96" s="730"/>
      <c r="D96" s="727"/>
      <c r="E96" s="54" t="s">
        <v>379</v>
      </c>
      <c r="F96" s="333">
        <v>1</v>
      </c>
      <c r="G96" s="541"/>
      <c r="H96" s="333"/>
      <c r="I96" s="46"/>
      <c r="J96" s="333"/>
      <c r="K96" s="46"/>
      <c r="L96" s="333"/>
      <c r="M96" s="733"/>
    </row>
    <row r="97" spans="2:13" ht="18" customHeight="1">
      <c r="B97" s="727"/>
      <c r="C97" s="730"/>
      <c r="D97" s="727"/>
      <c r="E97" s="54" t="s">
        <v>380</v>
      </c>
      <c r="F97" s="333">
        <v>1</v>
      </c>
      <c r="G97" s="541"/>
      <c r="H97" s="333"/>
      <c r="I97" s="46"/>
      <c r="J97" s="333"/>
      <c r="K97" s="46"/>
      <c r="L97" s="333"/>
      <c r="M97" s="733"/>
    </row>
    <row r="98" spans="2:13" ht="18" customHeight="1">
      <c r="B98" s="727"/>
      <c r="C98" s="730"/>
      <c r="D98" s="727"/>
      <c r="E98" s="54" t="s">
        <v>381</v>
      </c>
      <c r="F98" s="333">
        <v>1</v>
      </c>
      <c r="G98" s="541"/>
      <c r="H98" s="333"/>
      <c r="I98" s="46"/>
      <c r="J98" s="333"/>
      <c r="K98" s="46"/>
      <c r="L98" s="333"/>
      <c r="M98" s="733"/>
    </row>
    <row r="99" spans="2:13" ht="18" customHeight="1">
      <c r="B99" s="727"/>
      <c r="C99" s="730"/>
      <c r="D99" s="727"/>
      <c r="E99" s="54" t="s">
        <v>382</v>
      </c>
      <c r="F99" s="333">
        <v>1</v>
      </c>
      <c r="G99" s="541"/>
      <c r="H99" s="333"/>
      <c r="I99" s="46"/>
      <c r="J99" s="333"/>
      <c r="K99" s="46"/>
      <c r="L99" s="333"/>
      <c r="M99" s="733"/>
    </row>
    <row r="100" spans="2:13" ht="18" customHeight="1">
      <c r="B100" s="727"/>
      <c r="C100" s="730"/>
      <c r="D100" s="727"/>
      <c r="E100" s="54" t="s">
        <v>383</v>
      </c>
      <c r="F100" s="333">
        <v>1</v>
      </c>
      <c r="G100" s="541"/>
      <c r="H100" s="333"/>
      <c r="I100" s="46"/>
      <c r="J100" s="333"/>
      <c r="K100" s="46"/>
      <c r="L100" s="333"/>
      <c r="M100" s="733"/>
    </row>
    <row r="101" spans="2:13" ht="18" customHeight="1">
      <c r="B101" s="727"/>
      <c r="C101" s="730"/>
      <c r="D101" s="727"/>
      <c r="E101" s="54" t="s">
        <v>382</v>
      </c>
      <c r="F101" s="333">
        <v>1</v>
      </c>
      <c r="G101" s="541"/>
      <c r="H101" s="333"/>
      <c r="I101" s="46"/>
      <c r="J101" s="333"/>
      <c r="K101" s="46"/>
      <c r="L101" s="333"/>
      <c r="M101" s="733"/>
    </row>
    <row r="102" spans="2:13" ht="18" customHeight="1">
      <c r="B102" s="727"/>
      <c r="C102" s="730"/>
      <c r="D102" s="727"/>
      <c r="E102" s="54" t="s">
        <v>382</v>
      </c>
      <c r="F102" s="333">
        <v>1</v>
      </c>
      <c r="G102" s="541"/>
      <c r="H102" s="333"/>
      <c r="I102" s="46"/>
      <c r="J102" s="333"/>
      <c r="K102" s="46"/>
      <c r="L102" s="333"/>
      <c r="M102" s="733"/>
    </row>
    <row r="103" spans="2:13" ht="18" customHeight="1">
      <c r="B103" s="727"/>
      <c r="C103" s="730"/>
      <c r="D103" s="727"/>
      <c r="E103" s="54" t="s">
        <v>384</v>
      </c>
      <c r="F103" s="333">
        <v>1</v>
      </c>
      <c r="G103" s="541"/>
      <c r="H103" s="333"/>
      <c r="I103" s="46"/>
      <c r="J103" s="333"/>
      <c r="K103" s="46"/>
      <c r="L103" s="333"/>
      <c r="M103" s="733"/>
    </row>
    <row r="104" spans="2:13" ht="18" customHeight="1">
      <c r="B104" s="727"/>
      <c r="C104" s="730"/>
      <c r="D104" s="727"/>
      <c r="E104" s="54" t="s">
        <v>385</v>
      </c>
      <c r="F104" s="333">
        <v>1</v>
      </c>
      <c r="G104" s="541"/>
      <c r="H104" s="333"/>
      <c r="I104" s="46"/>
      <c r="J104" s="333"/>
      <c r="K104" s="46"/>
      <c r="L104" s="333"/>
      <c r="M104" s="733"/>
    </row>
    <row r="105" spans="2:13" ht="18" customHeight="1">
      <c r="B105" s="728"/>
      <c r="C105" s="731"/>
      <c r="D105" s="728"/>
      <c r="E105" s="427" t="s">
        <v>386</v>
      </c>
      <c r="F105" s="224">
        <v>1</v>
      </c>
      <c r="G105" s="542"/>
      <c r="H105" s="224"/>
      <c r="I105" s="329"/>
      <c r="J105" s="224"/>
      <c r="K105" s="329"/>
      <c r="L105" s="224"/>
      <c r="M105" s="734"/>
    </row>
    <row r="106" spans="2:13" ht="54">
      <c r="B106" s="539" t="str">
        <f>'Pl Orçamentária'!B45</f>
        <v>4.1.3</v>
      </c>
      <c r="C106" s="538" t="str">
        <f>VLOOKUP(B106,'Pl Orçamentária'!$B$17:$L$238,4,FALSE)</f>
        <v>Porta de madeira compensada lisa, 120x210x3,5cm, incluso aduela 2A, alizar 2A e dobradiças vai vem</v>
      </c>
      <c r="D106" s="576"/>
      <c r="E106" s="209" t="s">
        <v>88</v>
      </c>
      <c r="F106" s="359">
        <v>1</v>
      </c>
      <c r="G106" s="539"/>
      <c r="H106" s="359"/>
      <c r="I106" s="359"/>
      <c r="J106" s="359"/>
      <c r="K106" s="359"/>
      <c r="L106" s="359"/>
      <c r="M106" s="439">
        <f>F106</f>
        <v>1</v>
      </c>
    </row>
    <row r="107" spans="2:13" ht="72">
      <c r="B107" s="539" t="str">
        <f>'Pl Orçamentária'!B46</f>
        <v>4.1.4</v>
      </c>
      <c r="C107" s="538" t="str">
        <f>VLOOKUP(B107,'Pl Orçamentária'!$B$17:$L$238,4,FALSE)</f>
        <v>Porta de madeira compensada lisa, 150x210x3,5cm, 2 folhas incluso aduela 2A, alizar 2A e dobradiças vai vem</v>
      </c>
      <c r="D107" s="576"/>
      <c r="E107" s="214" t="s">
        <v>88</v>
      </c>
      <c r="F107" s="359">
        <v>1</v>
      </c>
      <c r="G107" s="539"/>
      <c r="H107" s="359"/>
      <c r="I107" s="359"/>
      <c r="J107" s="359"/>
      <c r="K107" s="359"/>
      <c r="L107" s="359"/>
      <c r="M107" s="439">
        <f>F107</f>
        <v>1</v>
      </c>
    </row>
    <row r="108" spans="2:13" ht="72">
      <c r="B108" s="539" t="str">
        <f>'Pl Orçamentária'!B47</f>
        <v>4.1.5</v>
      </c>
      <c r="C108" s="538" t="str">
        <f>VLOOKUP(B108,'Pl Orçamentária'!$B$17:$L$238,4,FALSE)</f>
        <v>Porta de madeira compensada lisa, 200x210x3,5cm, 2 folhas incluso aduela 2A, alizar 2A e dobradiças vai vem</v>
      </c>
      <c r="D108" s="576"/>
      <c r="E108" s="214" t="s">
        <v>266</v>
      </c>
      <c r="F108" s="359">
        <v>1</v>
      </c>
      <c r="G108" s="539"/>
      <c r="H108" s="359"/>
      <c r="I108" s="359"/>
      <c r="J108" s="359"/>
      <c r="K108" s="359"/>
      <c r="L108" s="359"/>
      <c r="M108" s="439">
        <f>F108</f>
        <v>1</v>
      </c>
    </row>
    <row r="109" spans="2:13" ht="54">
      <c r="B109" s="726" t="str">
        <f>'Pl Orçamentária'!B48</f>
        <v>4.1.6</v>
      </c>
      <c r="C109" s="803" t="str">
        <f>VLOOKUP(B109,'Pl Orçamentária'!$B$17:$L$238,4,FALSE)</f>
        <v>Fechadura para porta tipo alavanca, cromada</v>
      </c>
      <c r="D109" s="726" t="s">
        <v>55</v>
      </c>
      <c r="E109" s="449" t="str">
        <f>C82</f>
        <v>Porta de madeira compensada lisa, 60x210x3,5cm, incluso aduela 2A, alizar 2A e dobradiças</v>
      </c>
      <c r="F109" s="225">
        <f>M82</f>
        <v>2</v>
      </c>
      <c r="G109" s="666"/>
      <c r="H109" s="225"/>
      <c r="I109" s="328"/>
      <c r="J109" s="225"/>
      <c r="K109" s="328"/>
      <c r="L109" s="225"/>
      <c r="M109" s="765">
        <f>SUM(F109:F110)</f>
        <v>27</v>
      </c>
    </row>
    <row r="110" spans="2:13" ht="54">
      <c r="B110" s="728"/>
      <c r="C110" s="805"/>
      <c r="D110" s="728"/>
      <c r="E110" s="427" t="str">
        <f>C84</f>
        <v>Porta de madeira compensada lisa 80x210x3,5cm, incluso aduela, alizar e dobradicas </v>
      </c>
      <c r="F110" s="224">
        <f>M84</f>
        <v>25</v>
      </c>
      <c r="G110" s="667"/>
      <c r="H110" s="224"/>
      <c r="I110" s="329"/>
      <c r="J110" s="224"/>
      <c r="K110" s="329"/>
      <c r="L110" s="224"/>
      <c r="M110" s="767"/>
    </row>
    <row r="111" spans="2:13" ht="7.5" customHeight="1">
      <c r="B111" s="78"/>
      <c r="C111" s="51"/>
      <c r="D111" s="51"/>
      <c r="E111" s="78"/>
      <c r="F111" s="50"/>
      <c r="G111" s="50"/>
      <c r="H111" s="50"/>
      <c r="I111" s="50"/>
      <c r="J111" s="50"/>
      <c r="K111" s="50"/>
      <c r="L111" s="50"/>
      <c r="M111" s="50"/>
    </row>
    <row r="112" spans="2:13" ht="22.5" customHeight="1">
      <c r="B112" s="233" t="str">
        <f>'Pl Orçamentária'!B50</f>
        <v>4.2</v>
      </c>
      <c r="C112" s="234" t="str">
        <f>VLOOKUP(B112,'Pl Orçamentária'!$B$17:$L$238,4,FALSE)</f>
        <v>ESQUADRIAS METÁLICAS</v>
      </c>
      <c r="D112" s="235"/>
      <c r="E112" s="236"/>
      <c r="F112" s="237"/>
      <c r="G112" s="237"/>
      <c r="H112" s="237"/>
      <c r="I112" s="237"/>
      <c r="J112" s="237"/>
      <c r="K112" s="237"/>
      <c r="L112" s="237"/>
      <c r="M112" s="238"/>
    </row>
    <row r="113" spans="2:13" ht="7.5" customHeight="1">
      <c r="B113" s="78"/>
      <c r="C113" s="51"/>
      <c r="D113" s="51"/>
      <c r="E113" s="78"/>
      <c r="F113" s="50"/>
      <c r="G113" s="50"/>
      <c r="H113" s="50"/>
      <c r="I113" s="50"/>
      <c r="J113" s="50"/>
      <c r="K113" s="50"/>
      <c r="L113" s="50"/>
      <c r="M113" s="50"/>
    </row>
    <row r="114" spans="2:13" ht="18">
      <c r="B114" s="539" t="str">
        <f>'Pl Orçamentária'!B52</f>
        <v>4.2.1</v>
      </c>
      <c r="C114" s="538" t="str">
        <f>VLOOKUP(B114,'Pl Orçamentária'!$B$17:$L$238,4,FALSE)</f>
        <v>Janela em alumínio anodizado natural </v>
      </c>
      <c r="D114" s="538" t="s">
        <v>33</v>
      </c>
      <c r="E114" s="208" t="s">
        <v>403</v>
      </c>
      <c r="F114" s="359"/>
      <c r="G114" s="539"/>
      <c r="H114" s="359"/>
      <c r="I114" s="359">
        <v>1.2</v>
      </c>
      <c r="J114" s="359">
        <v>0.5</v>
      </c>
      <c r="K114" s="359">
        <f>I114*J114</f>
        <v>0.6</v>
      </c>
      <c r="L114" s="359"/>
      <c r="M114" s="577">
        <f>SUM(K114:K114)</f>
        <v>0.6</v>
      </c>
    </row>
    <row r="115" spans="2:13" ht="18">
      <c r="B115" s="539" t="str">
        <f>'Pl Orçamentária'!B53</f>
        <v>4.2.2</v>
      </c>
      <c r="C115" s="538" t="str">
        <f>VLOOKUP(B115,'Pl Orçamentária'!$B$17:$L$238,4,FALSE)</f>
        <v>Esquadria tipo guilhotina 100x80cm</v>
      </c>
      <c r="D115" s="538" t="s">
        <v>33</v>
      </c>
      <c r="E115" s="208" t="s">
        <v>409</v>
      </c>
      <c r="F115" s="359"/>
      <c r="G115" s="539"/>
      <c r="H115" s="359"/>
      <c r="I115" s="359">
        <v>1</v>
      </c>
      <c r="J115" s="359">
        <v>0.8</v>
      </c>
      <c r="K115" s="359">
        <f>I115*J115</f>
        <v>0.8</v>
      </c>
      <c r="L115" s="359"/>
      <c r="M115" s="577">
        <f>SUM(K115:K115)</f>
        <v>0.8</v>
      </c>
    </row>
    <row r="116" spans="2:13" ht="18" customHeight="1">
      <c r="B116" s="537" t="str">
        <f>'Pl Orçamentária'!B54</f>
        <v>4.2.3</v>
      </c>
      <c r="C116" s="538" t="str">
        <f>VLOOKUP(B116,'Pl Orçamentária'!$B$17:$L$238,4,FALSE)</f>
        <v>Portão de ferro</v>
      </c>
      <c r="D116" s="538" t="s">
        <v>33</v>
      </c>
      <c r="E116" s="214" t="s">
        <v>399</v>
      </c>
      <c r="F116" s="578"/>
      <c r="G116" s="578"/>
      <c r="H116" s="578"/>
      <c r="I116" s="359">
        <v>3</v>
      </c>
      <c r="J116" s="359">
        <v>2.1</v>
      </c>
      <c r="K116" s="359">
        <f>I116*J116</f>
        <v>6.300000000000001</v>
      </c>
      <c r="L116" s="578"/>
      <c r="M116" s="577">
        <f>SUM(K116:K116)</f>
        <v>6.300000000000001</v>
      </c>
    </row>
    <row r="117" spans="2:13" ht="7.5" customHeight="1">
      <c r="B117" s="78"/>
      <c r="C117" s="51"/>
      <c r="D117" s="51"/>
      <c r="E117" s="78"/>
      <c r="F117" s="50"/>
      <c r="G117" s="50"/>
      <c r="H117" s="50"/>
      <c r="I117" s="50"/>
      <c r="J117" s="50"/>
      <c r="K117" s="50"/>
      <c r="L117" s="50"/>
      <c r="M117" s="50"/>
    </row>
    <row r="118" spans="2:13" ht="22.5" customHeight="1">
      <c r="B118" s="233" t="str">
        <f>'Pl Orçamentária'!B56</f>
        <v>4.3</v>
      </c>
      <c r="C118" s="234" t="str">
        <f>VLOOKUP(B118,'Pl Orçamentária'!$B$17:$L$238,4,FALSE)</f>
        <v>VIDROS</v>
      </c>
      <c r="D118" s="235"/>
      <c r="E118" s="236"/>
      <c r="F118" s="237"/>
      <c r="G118" s="237"/>
      <c r="H118" s="237"/>
      <c r="I118" s="237"/>
      <c r="J118" s="237"/>
      <c r="K118" s="237"/>
      <c r="L118" s="237"/>
      <c r="M118" s="238"/>
    </row>
    <row r="119" spans="2:13" ht="7.5" customHeight="1">
      <c r="B119" s="78"/>
      <c r="C119" s="51"/>
      <c r="D119" s="51"/>
      <c r="E119" s="78"/>
      <c r="F119" s="50"/>
      <c r="G119" s="50"/>
      <c r="H119" s="50"/>
      <c r="I119" s="50"/>
      <c r="J119" s="50"/>
      <c r="K119" s="50"/>
      <c r="L119" s="50"/>
      <c r="M119" s="50"/>
    </row>
    <row r="120" spans="2:13" ht="37.5">
      <c r="B120" s="749" t="str">
        <f>'Pl Orçamentária'!B58</f>
        <v>4.3.1</v>
      </c>
      <c r="C120" s="729" t="str">
        <f>VLOOKUP(B120,'Pl Orçamentária'!$B$17:$L$238,4,FALSE)</f>
        <v>Vidro comum liso transparente, e=4mm</v>
      </c>
      <c r="D120" s="751" t="s">
        <v>33</v>
      </c>
      <c r="E120" s="467" t="s">
        <v>400</v>
      </c>
      <c r="F120" s="420"/>
      <c r="G120" s="540"/>
      <c r="H120" s="225"/>
      <c r="I120" s="328"/>
      <c r="J120" s="340"/>
      <c r="K120" s="225"/>
      <c r="L120" s="420"/>
      <c r="M120" s="806">
        <f>SUM(K120:K125)</f>
        <v>15.600000000000001</v>
      </c>
    </row>
    <row r="121" spans="2:13" ht="18">
      <c r="B121" s="770"/>
      <c r="C121" s="730"/>
      <c r="D121" s="752"/>
      <c r="E121" s="334" t="s">
        <v>401</v>
      </c>
      <c r="F121" s="338">
        <v>2</v>
      </c>
      <c r="G121" s="541"/>
      <c r="H121" s="333"/>
      <c r="I121" s="46">
        <v>0.5</v>
      </c>
      <c r="J121" s="341">
        <v>1.6</v>
      </c>
      <c r="K121" s="333">
        <f>F121*I121*J121</f>
        <v>1.6</v>
      </c>
      <c r="L121" s="338"/>
      <c r="M121" s="807"/>
    </row>
    <row r="122" spans="2:13" ht="18">
      <c r="B122" s="770"/>
      <c r="C122" s="730"/>
      <c r="D122" s="752"/>
      <c r="E122" s="334" t="s">
        <v>370</v>
      </c>
      <c r="F122" s="338">
        <v>1</v>
      </c>
      <c r="G122" s="541"/>
      <c r="H122" s="333"/>
      <c r="I122" s="46">
        <v>2</v>
      </c>
      <c r="J122" s="341">
        <v>2.1</v>
      </c>
      <c r="K122" s="333">
        <f>F122*I122*J122</f>
        <v>4.2</v>
      </c>
      <c r="L122" s="338"/>
      <c r="M122" s="807"/>
    </row>
    <row r="123" spans="2:13" ht="18">
      <c r="B123" s="770"/>
      <c r="C123" s="730"/>
      <c r="D123" s="752"/>
      <c r="E123" s="334" t="s">
        <v>402</v>
      </c>
      <c r="F123" s="338">
        <v>2</v>
      </c>
      <c r="G123" s="541"/>
      <c r="H123" s="333"/>
      <c r="I123" s="46">
        <v>2</v>
      </c>
      <c r="J123" s="341">
        <v>2.1</v>
      </c>
      <c r="K123" s="333">
        <f>F123*I123*J123</f>
        <v>8.4</v>
      </c>
      <c r="L123" s="338"/>
      <c r="M123" s="807"/>
    </row>
    <row r="124" spans="2:13" ht="18" customHeight="1">
      <c r="B124" s="770"/>
      <c r="C124" s="730"/>
      <c r="D124" s="752"/>
      <c r="E124" s="579" t="str">
        <f>C114</f>
        <v>Janela em alumínio anodizado natural </v>
      </c>
      <c r="F124" s="338"/>
      <c r="G124" s="541"/>
      <c r="H124" s="333"/>
      <c r="I124" s="46"/>
      <c r="J124" s="341"/>
      <c r="K124" s="333">
        <f>M114</f>
        <v>0.6</v>
      </c>
      <c r="L124" s="338"/>
      <c r="M124" s="807"/>
    </row>
    <row r="125" spans="2:13" ht="37.5">
      <c r="B125" s="770"/>
      <c r="C125" s="730"/>
      <c r="D125" s="752"/>
      <c r="E125" s="668" t="str">
        <f>C115</f>
        <v>Esquadria tipo guilhotina 100x80cm</v>
      </c>
      <c r="F125" s="338"/>
      <c r="G125" s="541"/>
      <c r="H125" s="333"/>
      <c r="I125" s="46"/>
      <c r="J125" s="341"/>
      <c r="K125" s="333">
        <f>M115</f>
        <v>0.8</v>
      </c>
      <c r="L125" s="338"/>
      <c r="M125" s="807"/>
    </row>
    <row r="126" spans="2:13" ht="36">
      <c r="B126" s="223" t="str">
        <f>'Pl Orçamentária'!B59</f>
        <v>4.3.2</v>
      </c>
      <c r="C126" s="538" t="str">
        <f>VLOOKUP(B126,'Pl Orçamentária'!$B$17:$L$238,4,FALSE)</f>
        <v>Vidro temperado 10 mm, liso, transparente, com ferragens</v>
      </c>
      <c r="D126" s="210" t="s">
        <v>33</v>
      </c>
      <c r="E126" s="575" t="s">
        <v>408</v>
      </c>
      <c r="F126" s="165"/>
      <c r="G126" s="583"/>
      <c r="H126" s="165"/>
      <c r="I126" s="336">
        <v>1</v>
      </c>
      <c r="J126" s="165">
        <v>1.1</v>
      </c>
      <c r="K126" s="336">
        <f>I126*J126</f>
        <v>1.1</v>
      </c>
      <c r="L126" s="359"/>
      <c r="M126" s="584">
        <f>SUM(K126)</f>
        <v>1.1</v>
      </c>
    </row>
    <row r="127" spans="2:13" ht="18" customHeight="1">
      <c r="B127" s="751" t="str">
        <f>'Pl Orçamentária'!B60</f>
        <v>4.3.3</v>
      </c>
      <c r="C127" s="729" t="str">
        <f>VLOOKUP(B127,'Pl Orçamentária'!$B$17:$L$238,4,FALSE)</f>
        <v>Visor em alumínio com vidro temperado 6mm</v>
      </c>
      <c r="D127" s="749" t="s">
        <v>33</v>
      </c>
      <c r="E127" s="428" t="s">
        <v>396</v>
      </c>
      <c r="F127" s="225"/>
      <c r="G127" s="540"/>
      <c r="H127" s="225"/>
      <c r="I127" s="328">
        <v>0.2</v>
      </c>
      <c r="J127" s="225">
        <v>0.8</v>
      </c>
      <c r="K127" s="328">
        <f>I127*J127</f>
        <v>0.16000000000000003</v>
      </c>
      <c r="L127" s="225"/>
      <c r="M127" s="806">
        <f>SUM(K127:K128)</f>
        <v>0.32000000000000006</v>
      </c>
    </row>
    <row r="128" spans="2:13" ht="18">
      <c r="B128" s="774"/>
      <c r="C128" s="731"/>
      <c r="D128" s="750"/>
      <c r="E128" s="453" t="s">
        <v>266</v>
      </c>
      <c r="F128" s="224"/>
      <c r="G128" s="542"/>
      <c r="H128" s="224"/>
      <c r="I128" s="329">
        <v>0.2</v>
      </c>
      <c r="J128" s="224">
        <v>0.8</v>
      </c>
      <c r="K128" s="329">
        <f>I128*J128</f>
        <v>0.16000000000000003</v>
      </c>
      <c r="L128" s="224"/>
      <c r="M128" s="808"/>
    </row>
    <row r="129" spans="2:13" ht="7.5" customHeight="1" thickBot="1">
      <c r="B129" s="53"/>
      <c r="C129" s="52"/>
      <c r="D129" s="51"/>
      <c r="E129" s="49"/>
      <c r="F129" s="50"/>
      <c r="G129" s="50"/>
      <c r="H129" s="79"/>
      <c r="I129" s="50"/>
      <c r="J129" s="50"/>
      <c r="K129" s="79"/>
      <c r="L129" s="50"/>
      <c r="M129" s="148"/>
    </row>
    <row r="130" spans="2:13" ht="22.5" customHeight="1" thickBot="1">
      <c r="B130" s="212" t="str">
        <f>'Pl Orçamentária'!B62</f>
        <v>5.00</v>
      </c>
      <c r="C130" s="457" t="str">
        <f>VLOOKUP(B130,'Pl Orçamentária'!$B$17:$L$238,4,FALSE)</f>
        <v>INSTALAÇÕES  HIDRO-SANITÁRIAS E COMBATE A INCÊNDIO</v>
      </c>
      <c r="D130" s="458"/>
      <c r="E130" s="458"/>
      <c r="F130" s="203"/>
      <c r="G130" s="203"/>
      <c r="H130" s="203"/>
      <c r="I130" s="203"/>
      <c r="J130" s="203"/>
      <c r="K130" s="203"/>
      <c r="L130" s="203"/>
      <c r="M130" s="204"/>
    </row>
    <row r="131" spans="2:13" ht="7.5" customHeight="1">
      <c r="B131" s="78"/>
      <c r="C131" s="51"/>
      <c r="D131" s="51"/>
      <c r="E131" s="78"/>
      <c r="F131" s="50"/>
      <c r="G131" s="50"/>
      <c r="H131" s="50"/>
      <c r="I131" s="50"/>
      <c r="J131" s="50"/>
      <c r="K131" s="50"/>
      <c r="L131" s="50"/>
      <c r="M131" s="50"/>
    </row>
    <row r="132" spans="2:13" ht="22.5" customHeight="1">
      <c r="B132" s="233" t="str">
        <f>'Pl Orçamentária'!B64</f>
        <v>5.1</v>
      </c>
      <c r="C132" s="234" t="str">
        <f>VLOOKUP(B132,'Pl Orçamentária'!$B$17:$L$238,4,FALSE)</f>
        <v>REDE DE ESGOTO SANITÁRIO</v>
      </c>
      <c r="D132" s="235"/>
      <c r="E132" s="236"/>
      <c r="F132" s="237"/>
      <c r="G132" s="237"/>
      <c r="H132" s="237"/>
      <c r="I132" s="237"/>
      <c r="J132" s="237"/>
      <c r="K132" s="237"/>
      <c r="L132" s="237"/>
      <c r="M132" s="238"/>
    </row>
    <row r="133" spans="2:13" ht="7.5" customHeight="1">
      <c r="B133" s="78"/>
      <c r="C133" s="51"/>
      <c r="D133" s="51"/>
      <c r="E133" s="78"/>
      <c r="F133" s="50"/>
      <c r="G133" s="50"/>
      <c r="H133" s="50"/>
      <c r="I133" s="50"/>
      <c r="J133" s="50"/>
      <c r="K133" s="50"/>
      <c r="L133" s="50"/>
      <c r="M133" s="50"/>
    </row>
    <row r="134" spans="2:13" ht="18">
      <c r="B134" s="776" t="str">
        <f>'Pl Orçamentária'!B66</f>
        <v>5.1.4</v>
      </c>
      <c r="C134" s="729" t="str">
        <f>VLOOKUP(B134,'Pl Orçamentária'!$B$17:$L$238,4,FALSE)</f>
        <v>Ponto de esgoto com tubo de pvc rígido soldável de Ø 40 mm (lavatórios, mictórios, ralos sifonados, etc...)</v>
      </c>
      <c r="D134" s="803" t="s">
        <v>42</v>
      </c>
      <c r="E134" s="242" t="s">
        <v>391</v>
      </c>
      <c r="F134" s="328">
        <v>1</v>
      </c>
      <c r="G134" s="225"/>
      <c r="H134" s="330"/>
      <c r="I134" s="262"/>
      <c r="J134" s="330"/>
      <c r="K134" s="262"/>
      <c r="L134" s="262"/>
      <c r="M134" s="765">
        <f>SUM(F134:F135)</f>
        <v>2</v>
      </c>
    </row>
    <row r="135" spans="2:13" ht="18">
      <c r="B135" s="777"/>
      <c r="C135" s="730"/>
      <c r="D135" s="804"/>
      <c r="E135" s="334" t="s">
        <v>381</v>
      </c>
      <c r="F135" s="46">
        <v>1</v>
      </c>
      <c r="G135" s="333"/>
      <c r="H135" s="47"/>
      <c r="I135" s="363"/>
      <c r="J135" s="47"/>
      <c r="K135" s="363"/>
      <c r="L135" s="363"/>
      <c r="M135" s="766"/>
    </row>
    <row r="136" spans="2:13" ht="54">
      <c r="B136" s="558" t="str">
        <f>'Pl Orçamentária'!B67</f>
        <v>5.1.5</v>
      </c>
      <c r="C136" s="447" t="str">
        <f>VLOOKUP(B136,'Pl Orçamentária'!$B$17:$L$238,4,FALSE)</f>
        <v>Ponto de esgoto com tubo de pvc rígido soldável de Ø 50 mm (pias, caixa sinfonadas)</v>
      </c>
      <c r="D136" s="556" t="s">
        <v>42</v>
      </c>
      <c r="E136" s="343" t="s">
        <v>261</v>
      </c>
      <c r="F136" s="328">
        <v>3</v>
      </c>
      <c r="G136" s="225"/>
      <c r="H136" s="330"/>
      <c r="I136" s="262"/>
      <c r="J136" s="330"/>
      <c r="K136" s="262"/>
      <c r="L136" s="262"/>
      <c r="M136" s="548">
        <f>SUM(F136:F136)</f>
        <v>3</v>
      </c>
    </row>
    <row r="137" spans="2:13" ht="18" customHeight="1">
      <c r="B137" s="749" t="str">
        <f>'Pl Orçamentária'!B68</f>
        <v>5.1.6</v>
      </c>
      <c r="C137" s="749" t="str">
        <f>VLOOKUP(B137,'Pl Orçamentária'!$B$17:$L$238,4,FALSE)</f>
        <v>Ralo sinfonado, PVC 100x40, junta soldável-fornecimento e instalação</v>
      </c>
      <c r="D137" s="447" t="s">
        <v>55</v>
      </c>
      <c r="E137" s="242" t="s">
        <v>391</v>
      </c>
      <c r="F137" s="328">
        <v>1</v>
      </c>
      <c r="G137" s="362"/>
      <c r="H137" s="361"/>
      <c r="I137" s="356"/>
      <c r="J137" s="361"/>
      <c r="K137" s="356"/>
      <c r="L137" s="356"/>
      <c r="M137" s="732">
        <f>SUM(F137:F137)</f>
        <v>1</v>
      </c>
    </row>
    <row r="138" spans="2:13" ht="18" customHeight="1">
      <c r="B138" s="750"/>
      <c r="C138" s="750"/>
      <c r="D138" s="545"/>
      <c r="E138" s="334" t="s">
        <v>381</v>
      </c>
      <c r="F138" s="46">
        <v>1</v>
      </c>
      <c r="G138" s="365"/>
      <c r="H138" s="346"/>
      <c r="I138" s="355"/>
      <c r="J138" s="346"/>
      <c r="K138" s="355"/>
      <c r="L138" s="355"/>
      <c r="M138" s="734"/>
    </row>
    <row r="139" spans="2:13" ht="18">
      <c r="B139" s="749" t="str">
        <f>'Pl Orçamentária'!B69</f>
        <v>5.1.7</v>
      </c>
      <c r="C139" s="768" t="str">
        <f>VLOOKUP(B139,'Pl Orçamentária'!$B$17:$L$238,4,FALSE)</f>
        <v>Sifão do tipo garrafa em metal cromado - fornecimento e instalação</v>
      </c>
      <c r="D139" s="749" t="s">
        <v>55</v>
      </c>
      <c r="E139" s="242" t="s">
        <v>261</v>
      </c>
      <c r="F139" s="331">
        <v>2</v>
      </c>
      <c r="G139" s="362"/>
      <c r="H139" s="361"/>
      <c r="I139" s="356"/>
      <c r="J139" s="361"/>
      <c r="K139" s="356"/>
      <c r="L139" s="356"/>
      <c r="M139" s="746">
        <f>SUM(F139:F152)</f>
        <v>18</v>
      </c>
    </row>
    <row r="140" spans="2:13" ht="18">
      <c r="B140" s="770"/>
      <c r="C140" s="769"/>
      <c r="D140" s="770"/>
      <c r="E140" s="334" t="s">
        <v>373</v>
      </c>
      <c r="F140" s="48">
        <v>1</v>
      </c>
      <c r="G140" s="459"/>
      <c r="H140" s="345"/>
      <c r="I140" s="354"/>
      <c r="J140" s="345"/>
      <c r="K140" s="354"/>
      <c r="L140" s="354"/>
      <c r="M140" s="747"/>
    </row>
    <row r="141" spans="2:13" ht="18">
      <c r="B141" s="770"/>
      <c r="C141" s="769"/>
      <c r="D141" s="770"/>
      <c r="E141" s="334" t="s">
        <v>410</v>
      </c>
      <c r="F141" s="48">
        <v>1</v>
      </c>
      <c r="G141" s="459"/>
      <c r="H141" s="345"/>
      <c r="I141" s="354"/>
      <c r="J141" s="345"/>
      <c r="K141" s="354"/>
      <c r="L141" s="354"/>
      <c r="M141" s="747"/>
    </row>
    <row r="142" spans="2:13" ht="18">
      <c r="B142" s="770"/>
      <c r="C142" s="769"/>
      <c r="D142" s="770"/>
      <c r="E142" s="334" t="s">
        <v>262</v>
      </c>
      <c r="F142" s="48">
        <v>2</v>
      </c>
      <c r="G142" s="459"/>
      <c r="H142" s="345"/>
      <c r="I142" s="354"/>
      <c r="J142" s="345"/>
      <c r="K142" s="354"/>
      <c r="L142" s="354"/>
      <c r="M142" s="747"/>
    </row>
    <row r="143" spans="2:13" ht="18">
      <c r="B143" s="770"/>
      <c r="C143" s="769"/>
      <c r="D143" s="770"/>
      <c r="E143" s="334" t="s">
        <v>411</v>
      </c>
      <c r="F143" s="48">
        <v>2</v>
      </c>
      <c r="G143" s="459"/>
      <c r="H143" s="345"/>
      <c r="I143" s="354"/>
      <c r="J143" s="345"/>
      <c r="K143" s="354"/>
      <c r="L143" s="354"/>
      <c r="M143" s="747"/>
    </row>
    <row r="144" spans="2:13" ht="18">
      <c r="B144" s="770"/>
      <c r="C144" s="769"/>
      <c r="D144" s="770"/>
      <c r="E144" s="334" t="s">
        <v>377</v>
      </c>
      <c r="F144" s="48">
        <v>1</v>
      </c>
      <c r="G144" s="459"/>
      <c r="H144" s="345"/>
      <c r="I144" s="354"/>
      <c r="J144" s="345"/>
      <c r="K144" s="354"/>
      <c r="L144" s="354"/>
      <c r="M144" s="747"/>
    </row>
    <row r="145" spans="2:13" ht="18">
      <c r="B145" s="770"/>
      <c r="C145" s="769"/>
      <c r="D145" s="770"/>
      <c r="E145" s="334" t="s">
        <v>412</v>
      </c>
      <c r="F145" s="48">
        <v>2</v>
      </c>
      <c r="G145" s="459"/>
      <c r="H145" s="345"/>
      <c r="I145" s="354"/>
      <c r="J145" s="345"/>
      <c r="K145" s="354"/>
      <c r="L145" s="354"/>
      <c r="M145" s="747"/>
    </row>
    <row r="146" spans="2:13" ht="18">
      <c r="B146" s="770"/>
      <c r="C146" s="769"/>
      <c r="D146" s="770"/>
      <c r="E146" s="334" t="s">
        <v>379</v>
      </c>
      <c r="F146" s="48">
        <v>1</v>
      </c>
      <c r="G146" s="459"/>
      <c r="H146" s="345"/>
      <c r="I146" s="354"/>
      <c r="J146" s="345"/>
      <c r="K146" s="354"/>
      <c r="L146" s="354"/>
      <c r="M146" s="747"/>
    </row>
    <row r="147" spans="2:13" ht="18">
      <c r="B147" s="770"/>
      <c r="C147" s="769"/>
      <c r="D147" s="770"/>
      <c r="E147" s="334" t="s">
        <v>381</v>
      </c>
      <c r="F147" s="48">
        <v>1</v>
      </c>
      <c r="G147" s="459"/>
      <c r="H147" s="345"/>
      <c r="I147" s="354"/>
      <c r="J147" s="345"/>
      <c r="K147" s="354"/>
      <c r="L147" s="354"/>
      <c r="M147" s="747"/>
    </row>
    <row r="148" spans="2:13" ht="18">
      <c r="B148" s="770"/>
      <c r="C148" s="769"/>
      <c r="D148" s="770"/>
      <c r="E148" s="334" t="s">
        <v>266</v>
      </c>
      <c r="F148" s="48">
        <v>1</v>
      </c>
      <c r="G148" s="459"/>
      <c r="H148" s="345"/>
      <c r="I148" s="354"/>
      <c r="J148" s="345"/>
      <c r="K148" s="354"/>
      <c r="L148" s="354"/>
      <c r="M148" s="747"/>
    </row>
    <row r="149" spans="2:13" ht="18">
      <c r="B149" s="770"/>
      <c r="C149" s="769"/>
      <c r="D149" s="770"/>
      <c r="E149" s="334" t="s">
        <v>383</v>
      </c>
      <c r="F149" s="48">
        <v>1</v>
      </c>
      <c r="G149" s="459"/>
      <c r="H149" s="345"/>
      <c r="I149" s="354"/>
      <c r="J149" s="345"/>
      <c r="K149" s="354"/>
      <c r="L149" s="354"/>
      <c r="M149" s="747"/>
    </row>
    <row r="150" spans="2:13" ht="18">
      <c r="B150" s="770"/>
      <c r="C150" s="769"/>
      <c r="D150" s="770"/>
      <c r="E150" s="334" t="s">
        <v>414</v>
      </c>
      <c r="F150" s="48">
        <v>1</v>
      </c>
      <c r="G150" s="459"/>
      <c r="H150" s="345"/>
      <c r="I150" s="354"/>
      <c r="J150" s="345"/>
      <c r="K150" s="354"/>
      <c r="L150" s="354"/>
      <c r="M150" s="747"/>
    </row>
    <row r="151" spans="2:13" ht="18">
      <c r="B151" s="770"/>
      <c r="C151" s="769"/>
      <c r="D151" s="770"/>
      <c r="E151" s="334" t="s">
        <v>415</v>
      </c>
      <c r="F151" s="48">
        <v>1</v>
      </c>
      <c r="G151" s="459"/>
      <c r="H151" s="345"/>
      <c r="I151" s="354"/>
      <c r="J151" s="345"/>
      <c r="K151" s="354"/>
      <c r="L151" s="354"/>
      <c r="M151" s="747"/>
    </row>
    <row r="152" spans="2:13" ht="18">
      <c r="B152" s="750"/>
      <c r="C152" s="775"/>
      <c r="D152" s="750"/>
      <c r="E152" s="229" t="s">
        <v>391</v>
      </c>
      <c r="F152" s="332">
        <v>1</v>
      </c>
      <c r="G152" s="365"/>
      <c r="H152" s="346"/>
      <c r="I152" s="355"/>
      <c r="J152" s="346"/>
      <c r="K152" s="355"/>
      <c r="L152" s="355"/>
      <c r="M152" s="748"/>
    </row>
    <row r="153" spans="2:13" ht="7.5" customHeight="1">
      <c r="B153" s="78"/>
      <c r="C153" s="51"/>
      <c r="D153" s="51"/>
      <c r="E153" s="78"/>
      <c r="F153" s="50"/>
      <c r="G153" s="50"/>
      <c r="H153" s="50"/>
      <c r="I153" s="50"/>
      <c r="J153" s="50"/>
      <c r="K153" s="50"/>
      <c r="L153" s="50"/>
      <c r="M153" s="430"/>
    </row>
    <row r="154" spans="2:13" ht="22.5" customHeight="1">
      <c r="B154" s="233" t="str">
        <f>'Pl Orçamentária'!B71</f>
        <v>5.2</v>
      </c>
      <c r="C154" s="234" t="str">
        <f>VLOOKUP(B154,'Pl Orçamentária'!$B$17:$L$238,4,FALSE)</f>
        <v>REDE DE ÁGUA FRIA</v>
      </c>
      <c r="D154" s="235"/>
      <c r="E154" s="236"/>
      <c r="F154" s="237"/>
      <c r="G154" s="237"/>
      <c r="H154" s="237"/>
      <c r="I154" s="237"/>
      <c r="J154" s="237"/>
      <c r="K154" s="237"/>
      <c r="L154" s="237"/>
      <c r="M154" s="238"/>
    </row>
    <row r="155" spans="2:13" ht="7.5" customHeight="1">
      <c r="B155" s="78"/>
      <c r="C155" s="51"/>
      <c r="D155" s="51"/>
      <c r="E155" s="78"/>
      <c r="F155" s="50"/>
      <c r="G155" s="50"/>
      <c r="H155" s="50"/>
      <c r="I155" s="50"/>
      <c r="J155" s="50"/>
      <c r="K155" s="50"/>
      <c r="L155" s="50"/>
      <c r="M155" s="50"/>
    </row>
    <row r="156" spans="2:13" ht="36">
      <c r="B156" s="562" t="str">
        <f>'Pl Orçamentária'!B73</f>
        <v>5.2.1</v>
      </c>
      <c r="C156" s="559" t="str">
        <f>VLOOKUP(B156,'Pl Orçamentária'!$B$17:$L$238,4,FALSE)</f>
        <v>Ponto de água fria embutido, c/material pvc rígido soldável Ø 25mm</v>
      </c>
      <c r="D156" s="559" t="s">
        <v>42</v>
      </c>
      <c r="E156" s="343" t="s">
        <v>261</v>
      </c>
      <c r="F156" s="328">
        <v>3</v>
      </c>
      <c r="G156" s="356"/>
      <c r="H156" s="361"/>
      <c r="I156" s="356"/>
      <c r="J156" s="361"/>
      <c r="K156" s="356"/>
      <c r="L156" s="356"/>
      <c r="M156" s="548">
        <f>SUM(F156:F156)</f>
        <v>3</v>
      </c>
    </row>
    <row r="157" spans="2:13" ht="54">
      <c r="B157" s="223" t="str">
        <f>'Pl Orçamentária'!B74</f>
        <v>5.2.2</v>
      </c>
      <c r="C157" s="210" t="str">
        <f>VLOOKUP(B157,'Pl Orçamentária'!$B$17:$L$238,4,FALSE)</f>
        <v>Registro de gaveta com canopla ø 25mm, (cromoda) - fornecimento e instalação</v>
      </c>
      <c r="D157" s="350" t="s">
        <v>55</v>
      </c>
      <c r="E157" s="214" t="s">
        <v>416</v>
      </c>
      <c r="F157" s="336">
        <v>1</v>
      </c>
      <c r="G157" s="578"/>
      <c r="H157" s="585"/>
      <c r="I157" s="578"/>
      <c r="J157" s="585"/>
      <c r="K157" s="578"/>
      <c r="L157" s="578"/>
      <c r="M157" s="547">
        <f>SUM(F157:F157)</f>
        <v>1</v>
      </c>
    </row>
    <row r="158" spans="2:13" ht="36">
      <c r="B158" s="210" t="str">
        <f>'Pl Orçamentária'!B75</f>
        <v>5.2.3</v>
      </c>
      <c r="C158" s="210" t="str">
        <f>VLOOKUP(B158,'Pl Orçamentária'!$B$17:$L$238,4,FALSE)</f>
        <v>Engate flexível em metal cromado, 1/2" x 30cm - fornecimento e instalação</v>
      </c>
      <c r="D158" s="210" t="s">
        <v>55</v>
      </c>
      <c r="E158" s="214" t="s">
        <v>262</v>
      </c>
      <c r="F158" s="165">
        <v>4</v>
      </c>
      <c r="G158" s="163"/>
      <c r="H158" s="429"/>
      <c r="I158" s="163"/>
      <c r="J158" s="429"/>
      <c r="K158" s="163"/>
      <c r="L158" s="163"/>
      <c r="M158" s="439">
        <f>F158</f>
        <v>4</v>
      </c>
    </row>
    <row r="159" spans="2:13" ht="7.5" customHeight="1">
      <c r="B159" s="78"/>
      <c r="C159" s="51"/>
      <c r="D159" s="51"/>
      <c r="E159" s="78"/>
      <c r="F159" s="50"/>
      <c r="G159" s="50"/>
      <c r="H159" s="50"/>
      <c r="I159" s="50"/>
      <c r="J159" s="50"/>
      <c r="K159" s="50"/>
      <c r="L159" s="50"/>
      <c r="M159" s="50"/>
    </row>
    <row r="160" spans="2:13" ht="22.5" customHeight="1">
      <c r="B160" s="233" t="str">
        <f>'Pl Orçamentária'!B77</f>
        <v>5.3</v>
      </c>
      <c r="C160" s="234" t="str">
        <f>VLOOKUP(B160,'Pl Orçamentária'!$B$17:$L$238,4,FALSE)</f>
        <v>LOUÇAS E METAIS</v>
      </c>
      <c r="D160" s="235"/>
      <c r="E160" s="236"/>
      <c r="F160" s="237"/>
      <c r="G160" s="237"/>
      <c r="H160" s="237"/>
      <c r="I160" s="237"/>
      <c r="J160" s="237"/>
      <c r="K160" s="237"/>
      <c r="L160" s="237"/>
      <c r="M160" s="238"/>
    </row>
    <row r="161" spans="2:13" ht="7.5" customHeight="1">
      <c r="B161" s="78"/>
      <c r="C161" s="51"/>
      <c r="D161" s="51"/>
      <c r="E161" s="78"/>
      <c r="F161" s="50"/>
      <c r="G161" s="50"/>
      <c r="H161" s="50"/>
      <c r="I161" s="50"/>
      <c r="J161" s="50"/>
      <c r="K161" s="50"/>
      <c r="L161" s="50"/>
      <c r="M161" s="50"/>
    </row>
    <row r="162" spans="2:13" ht="54">
      <c r="B162" s="553" t="str">
        <f>'Pl Orçamentária'!B79</f>
        <v>5.3.1</v>
      </c>
      <c r="C162" s="550" t="str">
        <f>VLOOKUP(B162,'Pl Orçamentária'!$B$17:$L$238,4,FALSE)</f>
        <v>Torneira cromada 1/2" ou 3/4" para tanque, padrão médio - fornecimento e instalação</v>
      </c>
      <c r="D162" s="550" t="s">
        <v>55</v>
      </c>
      <c r="E162" s="343" t="s">
        <v>261</v>
      </c>
      <c r="F162" s="328">
        <v>3</v>
      </c>
      <c r="G162" s="326"/>
      <c r="H162" s="361"/>
      <c r="I162" s="356"/>
      <c r="J162" s="361"/>
      <c r="K162" s="356"/>
      <c r="L162" s="356"/>
      <c r="M162" s="546">
        <f>SUM(F162:F162)</f>
        <v>3</v>
      </c>
    </row>
    <row r="163" spans="2:13" ht="18" customHeight="1">
      <c r="B163" s="726" t="str">
        <f>'Pl Orçamentária'!B80</f>
        <v>5.3.2</v>
      </c>
      <c r="C163" s="729" t="str">
        <f>VLOOKUP(B163,'Pl Orçamentária'!$B$17:$L$238,4,FALSE)</f>
        <v>Torneira cromada tubo móvel,  1/2" ou 3/4" padrão alto - fornecimento e instalação</v>
      </c>
      <c r="D163" s="729" t="s">
        <v>55</v>
      </c>
      <c r="E163" s="343" t="s">
        <v>417</v>
      </c>
      <c r="F163" s="328">
        <v>1</v>
      </c>
      <c r="G163" s="326"/>
      <c r="H163" s="361"/>
      <c r="I163" s="356"/>
      <c r="J163" s="361"/>
      <c r="K163" s="356"/>
      <c r="L163" s="356"/>
      <c r="M163" s="732">
        <f>SUM(F163:F168)</f>
        <v>9</v>
      </c>
    </row>
    <row r="164" spans="2:13" ht="18" customHeight="1">
      <c r="B164" s="727"/>
      <c r="C164" s="730"/>
      <c r="D164" s="730"/>
      <c r="E164" s="352" t="s">
        <v>262</v>
      </c>
      <c r="F164" s="46">
        <v>4</v>
      </c>
      <c r="G164" s="335"/>
      <c r="H164" s="345"/>
      <c r="I164" s="354"/>
      <c r="J164" s="345"/>
      <c r="K164" s="354"/>
      <c r="L164" s="354"/>
      <c r="M164" s="733"/>
    </row>
    <row r="165" spans="2:13" ht="18" customHeight="1">
      <c r="B165" s="727"/>
      <c r="C165" s="730"/>
      <c r="D165" s="730"/>
      <c r="E165" s="352" t="s">
        <v>418</v>
      </c>
      <c r="F165" s="46">
        <v>1</v>
      </c>
      <c r="G165" s="335"/>
      <c r="H165" s="345"/>
      <c r="I165" s="354"/>
      <c r="J165" s="345"/>
      <c r="K165" s="354"/>
      <c r="L165" s="354"/>
      <c r="M165" s="733"/>
    </row>
    <row r="166" spans="2:13" ht="18" customHeight="1">
      <c r="B166" s="727"/>
      <c r="C166" s="730"/>
      <c r="D166" s="730"/>
      <c r="E166" s="352" t="s">
        <v>419</v>
      </c>
      <c r="F166" s="46">
        <v>1</v>
      </c>
      <c r="G166" s="335"/>
      <c r="H166" s="345"/>
      <c r="I166" s="354"/>
      <c r="J166" s="345"/>
      <c r="K166" s="354"/>
      <c r="L166" s="354"/>
      <c r="M166" s="733"/>
    </row>
    <row r="167" spans="2:13" ht="18" customHeight="1">
      <c r="B167" s="727"/>
      <c r="C167" s="730"/>
      <c r="D167" s="730"/>
      <c r="E167" s="352" t="s">
        <v>411</v>
      </c>
      <c r="F167" s="48">
        <v>1</v>
      </c>
      <c r="G167" s="335"/>
      <c r="H167" s="345"/>
      <c r="I167" s="354"/>
      <c r="J167" s="345"/>
      <c r="K167" s="354"/>
      <c r="L167" s="354"/>
      <c r="M167" s="733"/>
    </row>
    <row r="168" spans="2:13" ht="18">
      <c r="B168" s="728"/>
      <c r="C168" s="731"/>
      <c r="D168" s="731"/>
      <c r="E168" s="344" t="s">
        <v>385</v>
      </c>
      <c r="F168" s="329">
        <v>1</v>
      </c>
      <c r="G168" s="327"/>
      <c r="H168" s="346"/>
      <c r="I168" s="355"/>
      <c r="J168" s="346"/>
      <c r="K168" s="355"/>
      <c r="L168" s="355"/>
      <c r="M168" s="734"/>
    </row>
    <row r="169" spans="2:13" ht="18">
      <c r="B169" s="726" t="str">
        <f>'Pl Orçamentária'!B81</f>
        <v>5.3.3</v>
      </c>
      <c r="C169" s="729" t="str">
        <f>VLOOKUP(B169,'Pl Orçamentária'!$B$17:$L$238,4,FALSE)</f>
        <v>Torneira cromada de mesa, 1/2" ou 3/4", para lavatório - fornecimento e instalação</v>
      </c>
      <c r="D169" s="729" t="s">
        <v>55</v>
      </c>
      <c r="E169" s="343" t="s">
        <v>416</v>
      </c>
      <c r="F169" s="331">
        <v>1</v>
      </c>
      <c r="G169" s="326"/>
      <c r="H169" s="361"/>
      <c r="I169" s="356"/>
      <c r="J169" s="361"/>
      <c r="K169" s="356"/>
      <c r="L169" s="356"/>
      <c r="M169" s="732">
        <f>SUM(F169:F176)</f>
        <v>8</v>
      </c>
    </row>
    <row r="170" spans="2:13" ht="18">
      <c r="B170" s="727"/>
      <c r="C170" s="730"/>
      <c r="D170" s="730"/>
      <c r="E170" s="352" t="s">
        <v>418</v>
      </c>
      <c r="F170" s="48">
        <v>1</v>
      </c>
      <c r="G170" s="335"/>
      <c r="H170" s="345"/>
      <c r="I170" s="354"/>
      <c r="J170" s="345"/>
      <c r="K170" s="354"/>
      <c r="L170" s="354"/>
      <c r="M170" s="733"/>
    </row>
    <row r="171" spans="2:13" ht="18">
      <c r="B171" s="727"/>
      <c r="C171" s="730"/>
      <c r="D171" s="730"/>
      <c r="E171" s="352" t="s">
        <v>419</v>
      </c>
      <c r="F171" s="48">
        <v>1</v>
      </c>
      <c r="G171" s="335"/>
      <c r="H171" s="345"/>
      <c r="I171" s="354"/>
      <c r="J171" s="345"/>
      <c r="K171" s="354"/>
      <c r="L171" s="354"/>
      <c r="M171" s="733"/>
    </row>
    <row r="172" spans="2:13" ht="18">
      <c r="B172" s="727"/>
      <c r="C172" s="730"/>
      <c r="D172" s="730"/>
      <c r="E172" s="352" t="s">
        <v>414</v>
      </c>
      <c r="F172" s="48">
        <v>1</v>
      </c>
      <c r="G172" s="335"/>
      <c r="H172" s="345"/>
      <c r="I172" s="354"/>
      <c r="J172" s="345"/>
      <c r="K172" s="354"/>
      <c r="L172" s="354"/>
      <c r="M172" s="733"/>
    </row>
    <row r="173" spans="2:13" ht="18">
      <c r="B173" s="727"/>
      <c r="C173" s="730"/>
      <c r="D173" s="730"/>
      <c r="E173" s="352" t="s">
        <v>383</v>
      </c>
      <c r="F173" s="48">
        <v>1</v>
      </c>
      <c r="G173" s="335"/>
      <c r="H173" s="345"/>
      <c r="I173" s="354"/>
      <c r="J173" s="345"/>
      <c r="K173" s="354"/>
      <c r="L173" s="354"/>
      <c r="M173" s="733"/>
    </row>
    <row r="174" spans="2:13" ht="18">
      <c r="B174" s="727"/>
      <c r="C174" s="730"/>
      <c r="D174" s="730"/>
      <c r="E174" s="352" t="s">
        <v>420</v>
      </c>
      <c r="F174" s="48">
        <v>1</v>
      </c>
      <c r="G174" s="335"/>
      <c r="H174" s="345"/>
      <c r="I174" s="354"/>
      <c r="J174" s="345"/>
      <c r="K174" s="354"/>
      <c r="L174" s="354"/>
      <c r="M174" s="733"/>
    </row>
    <row r="175" spans="2:13" ht="18">
      <c r="B175" s="727"/>
      <c r="C175" s="730"/>
      <c r="D175" s="730"/>
      <c r="E175" s="352" t="s">
        <v>411</v>
      </c>
      <c r="F175" s="48">
        <v>1</v>
      </c>
      <c r="G175" s="335"/>
      <c r="H175" s="345"/>
      <c r="I175" s="354"/>
      <c r="J175" s="345"/>
      <c r="K175" s="354"/>
      <c r="L175" s="354"/>
      <c r="M175" s="733"/>
    </row>
    <row r="176" spans="2:13" ht="18">
      <c r="B176" s="728"/>
      <c r="C176" s="731"/>
      <c r="D176" s="731"/>
      <c r="E176" s="344" t="s">
        <v>385</v>
      </c>
      <c r="F176" s="329">
        <v>1</v>
      </c>
      <c r="G176" s="327"/>
      <c r="H176" s="346"/>
      <c r="I176" s="355"/>
      <c r="J176" s="346"/>
      <c r="K176" s="355"/>
      <c r="L176" s="355"/>
      <c r="M176" s="734"/>
    </row>
    <row r="177" spans="2:13" ht="18" customHeight="1">
      <c r="B177" s="726" t="str">
        <f>'Pl Orçamentária'!B82</f>
        <v>5.3.4</v>
      </c>
      <c r="C177" s="729" t="str">
        <f>VLOOKUP(B177,'Pl Orçamentária'!$B$17:$L$238,4,FALSE)</f>
        <v>Peças de apoio c/tubo inox p/wc's  (vaso sanitário)</v>
      </c>
      <c r="D177" s="729" t="s">
        <v>55</v>
      </c>
      <c r="E177" s="352" t="s">
        <v>381</v>
      </c>
      <c r="F177" s="48">
        <v>2</v>
      </c>
      <c r="G177" s="335"/>
      <c r="H177" s="345"/>
      <c r="I177" s="354"/>
      <c r="J177" s="345"/>
      <c r="K177" s="354"/>
      <c r="L177" s="354"/>
      <c r="M177" s="732">
        <f>SUM(F177:F181)</f>
        <v>10</v>
      </c>
    </row>
    <row r="178" spans="2:13" ht="18">
      <c r="B178" s="727"/>
      <c r="C178" s="730"/>
      <c r="D178" s="730"/>
      <c r="E178" s="352" t="s">
        <v>391</v>
      </c>
      <c r="F178" s="48">
        <v>2</v>
      </c>
      <c r="G178" s="335"/>
      <c r="H178" s="345"/>
      <c r="I178" s="354"/>
      <c r="J178" s="345"/>
      <c r="K178" s="354"/>
      <c r="L178" s="354"/>
      <c r="M178" s="733"/>
    </row>
    <row r="179" spans="2:13" ht="18">
      <c r="B179" s="727"/>
      <c r="C179" s="730"/>
      <c r="D179" s="730"/>
      <c r="E179" s="352" t="s">
        <v>421</v>
      </c>
      <c r="F179" s="48">
        <v>2</v>
      </c>
      <c r="G179" s="335"/>
      <c r="H179" s="345"/>
      <c r="I179" s="354"/>
      <c r="J179" s="345"/>
      <c r="K179" s="354"/>
      <c r="L179" s="354"/>
      <c r="M179" s="733"/>
    </row>
    <row r="180" spans="2:13" ht="18">
      <c r="B180" s="727"/>
      <c r="C180" s="730"/>
      <c r="D180" s="730"/>
      <c r="E180" s="352" t="s">
        <v>382</v>
      </c>
      <c r="F180" s="48">
        <v>2</v>
      </c>
      <c r="G180" s="335"/>
      <c r="H180" s="345"/>
      <c r="I180" s="354"/>
      <c r="J180" s="345"/>
      <c r="K180" s="354"/>
      <c r="L180" s="354"/>
      <c r="M180" s="733"/>
    </row>
    <row r="181" spans="2:13" ht="18">
      <c r="B181" s="727"/>
      <c r="C181" s="730"/>
      <c r="D181" s="730"/>
      <c r="E181" s="352" t="s">
        <v>382</v>
      </c>
      <c r="F181" s="48">
        <v>2</v>
      </c>
      <c r="G181" s="335"/>
      <c r="H181" s="345"/>
      <c r="I181" s="354"/>
      <c r="J181" s="345"/>
      <c r="K181" s="354"/>
      <c r="L181" s="354"/>
      <c r="M181" s="733"/>
    </row>
    <row r="182" spans="2:13" ht="18">
      <c r="B182" s="726" t="str">
        <f>'Pl Orçamentária'!B83</f>
        <v>5.3.5</v>
      </c>
      <c r="C182" s="729" t="str">
        <f>VLOOKUP(B182,'Pl Orçamentária'!$B$17:$L$238,4,FALSE)</f>
        <v>Peças de apoio c/tubo inox (chuveiro)</v>
      </c>
      <c r="D182" s="729" t="s">
        <v>55</v>
      </c>
      <c r="E182" s="343" t="s">
        <v>413</v>
      </c>
      <c r="F182" s="372">
        <v>3</v>
      </c>
      <c r="G182" s="326"/>
      <c r="H182" s="361"/>
      <c r="I182" s="356"/>
      <c r="J182" s="361"/>
      <c r="K182" s="356"/>
      <c r="L182" s="356"/>
      <c r="M182" s="732">
        <f>SUM(F182:F184)</f>
        <v>9</v>
      </c>
    </row>
    <row r="183" spans="2:13" ht="18">
      <c r="B183" s="727"/>
      <c r="C183" s="730"/>
      <c r="D183" s="730"/>
      <c r="E183" s="352" t="s">
        <v>382</v>
      </c>
      <c r="F183" s="46">
        <v>3</v>
      </c>
      <c r="G183" s="335"/>
      <c r="H183" s="345"/>
      <c r="I183" s="354"/>
      <c r="J183" s="345"/>
      <c r="K183" s="354"/>
      <c r="L183" s="354"/>
      <c r="M183" s="733"/>
    </row>
    <row r="184" spans="2:13" ht="18">
      <c r="B184" s="727"/>
      <c r="C184" s="730"/>
      <c r="D184" s="730"/>
      <c r="E184" s="344" t="s">
        <v>382</v>
      </c>
      <c r="F184" s="329">
        <v>3</v>
      </c>
      <c r="G184" s="335"/>
      <c r="H184" s="345"/>
      <c r="I184" s="354"/>
      <c r="J184" s="345"/>
      <c r="K184" s="354"/>
      <c r="L184" s="354"/>
      <c r="M184" s="734"/>
    </row>
    <row r="185" spans="2:13" ht="18" customHeight="1">
      <c r="B185" s="726" t="str">
        <f>'Pl Orçamentária'!B84</f>
        <v>5.3.6</v>
      </c>
      <c r="C185" s="729" t="str">
        <f>VLOOKUP(B185,'Pl Orçamentária'!$B$17:$L$238,4,FALSE)</f>
        <v>Barra de apoio (para deficientes) em aço inox,para lavatório</v>
      </c>
      <c r="D185" s="729" t="s">
        <v>55</v>
      </c>
      <c r="E185" s="343" t="s">
        <v>381</v>
      </c>
      <c r="F185" s="331">
        <v>1</v>
      </c>
      <c r="G185" s="326"/>
      <c r="H185" s="361"/>
      <c r="I185" s="356"/>
      <c r="J185" s="361"/>
      <c r="K185" s="356"/>
      <c r="L185" s="356"/>
      <c r="M185" s="732">
        <f>SUM(F185:F189)</f>
        <v>5</v>
      </c>
    </row>
    <row r="186" spans="2:13" ht="18">
      <c r="B186" s="727"/>
      <c r="C186" s="730"/>
      <c r="D186" s="730"/>
      <c r="E186" s="352" t="s">
        <v>391</v>
      </c>
      <c r="F186" s="48">
        <v>1</v>
      </c>
      <c r="G186" s="335"/>
      <c r="H186" s="345"/>
      <c r="I186" s="354"/>
      <c r="J186" s="345"/>
      <c r="K186" s="354"/>
      <c r="L186" s="354"/>
      <c r="M186" s="733"/>
    </row>
    <row r="187" spans="2:13" ht="18">
      <c r="B187" s="727"/>
      <c r="C187" s="730"/>
      <c r="D187" s="730"/>
      <c r="E187" s="352" t="s">
        <v>421</v>
      </c>
      <c r="F187" s="48">
        <v>1</v>
      </c>
      <c r="G187" s="335"/>
      <c r="H187" s="345"/>
      <c r="I187" s="354"/>
      <c r="J187" s="345"/>
      <c r="K187" s="354"/>
      <c r="L187" s="354"/>
      <c r="M187" s="733"/>
    </row>
    <row r="188" spans="2:13" ht="18">
      <c r="B188" s="727"/>
      <c r="C188" s="730"/>
      <c r="D188" s="730"/>
      <c r="E188" s="352" t="s">
        <v>382</v>
      </c>
      <c r="F188" s="48">
        <v>1</v>
      </c>
      <c r="G188" s="335"/>
      <c r="H188" s="345"/>
      <c r="I188" s="354"/>
      <c r="J188" s="345"/>
      <c r="K188" s="354"/>
      <c r="L188" s="354"/>
      <c r="M188" s="733"/>
    </row>
    <row r="189" spans="2:13" ht="18">
      <c r="B189" s="728"/>
      <c r="C189" s="731"/>
      <c r="D189" s="731"/>
      <c r="E189" s="344" t="s">
        <v>382</v>
      </c>
      <c r="F189" s="332">
        <v>1</v>
      </c>
      <c r="G189" s="327"/>
      <c r="H189" s="346"/>
      <c r="I189" s="355"/>
      <c r="J189" s="346"/>
      <c r="K189" s="355"/>
      <c r="L189" s="355"/>
      <c r="M189" s="734"/>
    </row>
    <row r="190" spans="2:13" ht="18">
      <c r="B190" s="726" t="str">
        <f>'Pl Orçamentária'!B85</f>
        <v>5.3.7</v>
      </c>
      <c r="C190" s="729" t="str">
        <f>VLOOKUP(B190,'Pl Orçamentária'!$B$17:$L$238,4,FALSE)</f>
        <v>Peças de apoio c/tubo inox (porta)</v>
      </c>
      <c r="D190" s="729"/>
      <c r="E190" s="343" t="s">
        <v>381</v>
      </c>
      <c r="F190" s="331">
        <v>1</v>
      </c>
      <c r="G190" s="326"/>
      <c r="H190" s="361"/>
      <c r="I190" s="356"/>
      <c r="J190" s="361"/>
      <c r="K190" s="356"/>
      <c r="L190" s="356"/>
      <c r="M190" s="732">
        <f>SUM(F190:F194)</f>
        <v>5</v>
      </c>
    </row>
    <row r="191" spans="2:13" ht="18">
      <c r="B191" s="727"/>
      <c r="C191" s="730"/>
      <c r="D191" s="730"/>
      <c r="E191" s="352" t="s">
        <v>391</v>
      </c>
      <c r="F191" s="48">
        <v>1</v>
      </c>
      <c r="G191" s="335"/>
      <c r="H191" s="345"/>
      <c r="I191" s="354"/>
      <c r="J191" s="345"/>
      <c r="K191" s="354"/>
      <c r="L191" s="354"/>
      <c r="M191" s="733"/>
    </row>
    <row r="192" spans="2:13" ht="18">
      <c r="B192" s="727"/>
      <c r="C192" s="730"/>
      <c r="D192" s="730"/>
      <c r="E192" s="352" t="s">
        <v>421</v>
      </c>
      <c r="F192" s="48">
        <v>1</v>
      </c>
      <c r="G192" s="335"/>
      <c r="H192" s="345"/>
      <c r="I192" s="354"/>
      <c r="J192" s="345"/>
      <c r="K192" s="354"/>
      <c r="L192" s="354"/>
      <c r="M192" s="733"/>
    </row>
    <row r="193" spans="2:13" ht="18">
      <c r="B193" s="727"/>
      <c r="C193" s="730"/>
      <c r="D193" s="730"/>
      <c r="E193" s="352" t="s">
        <v>382</v>
      </c>
      <c r="F193" s="48">
        <v>1</v>
      </c>
      <c r="G193" s="335"/>
      <c r="H193" s="345"/>
      <c r="I193" s="354"/>
      <c r="J193" s="345"/>
      <c r="K193" s="354"/>
      <c r="L193" s="354"/>
      <c r="M193" s="733"/>
    </row>
    <row r="194" spans="2:13" ht="18">
      <c r="B194" s="728"/>
      <c r="C194" s="731"/>
      <c r="D194" s="731"/>
      <c r="E194" s="344" t="s">
        <v>382</v>
      </c>
      <c r="F194" s="332">
        <v>1</v>
      </c>
      <c r="G194" s="327"/>
      <c r="H194" s="346"/>
      <c r="I194" s="355"/>
      <c r="J194" s="346"/>
      <c r="K194" s="355"/>
      <c r="L194" s="355"/>
      <c r="M194" s="734"/>
    </row>
    <row r="195" spans="2:13" ht="18">
      <c r="B195" s="749" t="str">
        <f>'Pl Orçamentária'!B86</f>
        <v>5.3.8</v>
      </c>
      <c r="C195" s="749" t="str">
        <f>VLOOKUP(B195,'Pl Orçamentária'!$B$17:$L$238,4,FALSE)</f>
        <v>Porta sabão líquido em plástico ABS, com reservatório, branco</v>
      </c>
      <c r="D195" s="763" t="s">
        <v>55</v>
      </c>
      <c r="E195" s="343" t="s">
        <v>261</v>
      </c>
      <c r="F195" s="328">
        <v>1</v>
      </c>
      <c r="G195" s="362"/>
      <c r="H195" s="361"/>
      <c r="I195" s="356"/>
      <c r="J195" s="361"/>
      <c r="K195" s="356"/>
      <c r="L195" s="356"/>
      <c r="M195" s="755">
        <f>SUM(F195:F213)</f>
        <v>19</v>
      </c>
    </row>
    <row r="196" spans="2:13" ht="18">
      <c r="B196" s="770"/>
      <c r="C196" s="770"/>
      <c r="D196" s="764"/>
      <c r="E196" s="352" t="s">
        <v>373</v>
      </c>
      <c r="F196" s="46">
        <v>1</v>
      </c>
      <c r="G196" s="459"/>
      <c r="H196" s="345"/>
      <c r="I196" s="354"/>
      <c r="J196" s="345"/>
      <c r="K196" s="354"/>
      <c r="L196" s="354"/>
      <c r="M196" s="756"/>
    </row>
    <row r="197" spans="2:13" ht="18">
      <c r="B197" s="770"/>
      <c r="C197" s="770"/>
      <c r="D197" s="764"/>
      <c r="E197" s="352" t="s">
        <v>423</v>
      </c>
      <c r="F197" s="46">
        <v>1</v>
      </c>
      <c r="G197" s="459"/>
      <c r="H197" s="345"/>
      <c r="I197" s="354"/>
      <c r="J197" s="345"/>
      <c r="K197" s="354"/>
      <c r="L197" s="354"/>
      <c r="M197" s="756"/>
    </row>
    <row r="198" spans="2:13" ht="18">
      <c r="B198" s="770"/>
      <c r="C198" s="770"/>
      <c r="D198" s="764"/>
      <c r="E198" s="352" t="s">
        <v>409</v>
      </c>
      <c r="F198" s="46">
        <v>1</v>
      </c>
      <c r="G198" s="459"/>
      <c r="H198" s="345"/>
      <c r="I198" s="354"/>
      <c r="J198" s="345"/>
      <c r="K198" s="354"/>
      <c r="L198" s="354"/>
      <c r="M198" s="756"/>
    </row>
    <row r="199" spans="2:13" ht="18">
      <c r="B199" s="770"/>
      <c r="C199" s="770"/>
      <c r="D199" s="764"/>
      <c r="E199" s="352" t="s">
        <v>262</v>
      </c>
      <c r="F199" s="46">
        <v>1</v>
      </c>
      <c r="G199" s="459"/>
      <c r="H199" s="345"/>
      <c r="I199" s="354"/>
      <c r="J199" s="345"/>
      <c r="K199" s="354"/>
      <c r="L199" s="354"/>
      <c r="M199" s="756"/>
    </row>
    <row r="200" spans="2:13" ht="18">
      <c r="B200" s="770"/>
      <c r="C200" s="770"/>
      <c r="D200" s="764"/>
      <c r="E200" s="352" t="s">
        <v>266</v>
      </c>
      <c r="F200" s="46">
        <v>1</v>
      </c>
      <c r="G200" s="459"/>
      <c r="H200" s="345"/>
      <c r="I200" s="354"/>
      <c r="J200" s="345"/>
      <c r="K200" s="354"/>
      <c r="L200" s="354"/>
      <c r="M200" s="756"/>
    </row>
    <row r="201" spans="2:13" ht="18">
      <c r="B201" s="770"/>
      <c r="C201" s="770"/>
      <c r="D201" s="764"/>
      <c r="E201" s="352" t="s">
        <v>411</v>
      </c>
      <c r="F201" s="46">
        <v>1</v>
      </c>
      <c r="G201" s="459"/>
      <c r="H201" s="345"/>
      <c r="I201" s="354"/>
      <c r="J201" s="345"/>
      <c r="K201" s="354"/>
      <c r="L201" s="354"/>
      <c r="M201" s="756"/>
    </row>
    <row r="202" spans="2:13" ht="18">
      <c r="B202" s="770"/>
      <c r="C202" s="770"/>
      <c r="D202" s="764"/>
      <c r="E202" s="352" t="s">
        <v>264</v>
      </c>
      <c r="F202" s="46">
        <v>1</v>
      </c>
      <c r="G202" s="459"/>
      <c r="H202" s="345"/>
      <c r="I202" s="354"/>
      <c r="J202" s="345"/>
      <c r="K202" s="354"/>
      <c r="L202" s="354"/>
      <c r="M202" s="756"/>
    </row>
    <row r="203" spans="2:13" ht="18">
      <c r="B203" s="770"/>
      <c r="C203" s="770"/>
      <c r="D203" s="764"/>
      <c r="E203" s="352" t="s">
        <v>424</v>
      </c>
      <c r="F203" s="46">
        <v>1</v>
      </c>
      <c r="G203" s="459"/>
      <c r="H203" s="345"/>
      <c r="I203" s="354"/>
      <c r="J203" s="345"/>
      <c r="K203" s="354"/>
      <c r="L203" s="354"/>
      <c r="M203" s="756"/>
    </row>
    <row r="204" spans="2:13" ht="18">
      <c r="B204" s="770"/>
      <c r="C204" s="770"/>
      <c r="D204" s="764"/>
      <c r="E204" s="352" t="s">
        <v>378</v>
      </c>
      <c r="F204" s="46">
        <v>1</v>
      </c>
      <c r="G204" s="459"/>
      <c r="H204" s="345"/>
      <c r="I204" s="354"/>
      <c r="J204" s="345"/>
      <c r="K204" s="354"/>
      <c r="L204" s="354"/>
      <c r="M204" s="756"/>
    </row>
    <row r="205" spans="2:13" ht="18">
      <c r="B205" s="770"/>
      <c r="C205" s="770"/>
      <c r="D205" s="764"/>
      <c r="E205" s="352" t="s">
        <v>379</v>
      </c>
      <c r="F205" s="46">
        <v>1</v>
      </c>
      <c r="G205" s="459"/>
      <c r="H205" s="345"/>
      <c r="I205" s="354"/>
      <c r="J205" s="345"/>
      <c r="K205" s="354"/>
      <c r="L205" s="354"/>
      <c r="M205" s="756"/>
    </row>
    <row r="206" spans="2:13" ht="18">
      <c r="B206" s="770"/>
      <c r="C206" s="770"/>
      <c r="D206" s="764"/>
      <c r="E206" s="352" t="s">
        <v>381</v>
      </c>
      <c r="F206" s="46">
        <v>1</v>
      </c>
      <c r="G206" s="459"/>
      <c r="H206" s="345"/>
      <c r="I206" s="354"/>
      <c r="J206" s="345"/>
      <c r="K206" s="354"/>
      <c r="L206" s="354"/>
      <c r="M206" s="756"/>
    </row>
    <row r="207" spans="2:13" ht="18">
      <c r="B207" s="770"/>
      <c r="C207" s="770"/>
      <c r="D207" s="764"/>
      <c r="E207" s="352" t="s">
        <v>413</v>
      </c>
      <c r="F207" s="46">
        <v>1</v>
      </c>
      <c r="G207" s="459"/>
      <c r="H207" s="345"/>
      <c r="I207" s="354"/>
      <c r="J207" s="345"/>
      <c r="K207" s="354"/>
      <c r="L207" s="354"/>
      <c r="M207" s="756"/>
    </row>
    <row r="208" spans="2:13" ht="18">
      <c r="B208" s="770"/>
      <c r="C208" s="770"/>
      <c r="D208" s="764"/>
      <c r="E208" s="352" t="s">
        <v>383</v>
      </c>
      <c r="F208" s="46">
        <v>1</v>
      </c>
      <c r="G208" s="459"/>
      <c r="H208" s="345"/>
      <c r="I208" s="354"/>
      <c r="J208" s="345"/>
      <c r="K208" s="354"/>
      <c r="L208" s="354"/>
      <c r="M208" s="756"/>
    </row>
    <row r="209" spans="2:13" ht="18">
      <c r="B209" s="770"/>
      <c r="C209" s="770"/>
      <c r="D209" s="764"/>
      <c r="E209" s="352" t="s">
        <v>382</v>
      </c>
      <c r="F209" s="46">
        <v>1</v>
      </c>
      <c r="G209" s="459"/>
      <c r="H209" s="345"/>
      <c r="I209" s="354"/>
      <c r="J209" s="345"/>
      <c r="K209" s="354"/>
      <c r="L209" s="354"/>
      <c r="M209" s="756"/>
    </row>
    <row r="210" spans="2:13" ht="18">
      <c r="B210" s="770"/>
      <c r="C210" s="770"/>
      <c r="D210" s="764"/>
      <c r="E210" s="334" t="s">
        <v>382</v>
      </c>
      <c r="F210" s="46">
        <v>1</v>
      </c>
      <c r="G210" s="459"/>
      <c r="H210" s="345"/>
      <c r="I210" s="354"/>
      <c r="J210" s="345"/>
      <c r="K210" s="354"/>
      <c r="L210" s="354"/>
      <c r="M210" s="756"/>
    </row>
    <row r="211" spans="2:13" ht="18">
      <c r="B211" s="770"/>
      <c r="C211" s="770"/>
      <c r="D211" s="764"/>
      <c r="E211" s="334" t="s">
        <v>414</v>
      </c>
      <c r="F211" s="46">
        <v>1</v>
      </c>
      <c r="G211" s="459"/>
      <c r="H211" s="345"/>
      <c r="I211" s="354"/>
      <c r="J211" s="345"/>
      <c r="K211" s="354"/>
      <c r="L211" s="354"/>
      <c r="M211" s="756"/>
    </row>
    <row r="212" spans="2:13" ht="18">
      <c r="B212" s="770"/>
      <c r="C212" s="770"/>
      <c r="D212" s="764"/>
      <c r="E212" s="334" t="s">
        <v>415</v>
      </c>
      <c r="F212" s="46">
        <v>1</v>
      </c>
      <c r="G212" s="459"/>
      <c r="H212" s="345"/>
      <c r="I212" s="354"/>
      <c r="J212" s="345"/>
      <c r="K212" s="354"/>
      <c r="L212" s="354"/>
      <c r="M212" s="756"/>
    </row>
    <row r="213" spans="2:13" ht="18">
      <c r="B213" s="770"/>
      <c r="C213" s="770"/>
      <c r="D213" s="764"/>
      <c r="E213" s="334" t="s">
        <v>391</v>
      </c>
      <c r="F213" s="46">
        <v>1</v>
      </c>
      <c r="G213" s="459"/>
      <c r="H213" s="345"/>
      <c r="I213" s="354"/>
      <c r="J213" s="345"/>
      <c r="K213" s="354"/>
      <c r="L213" s="354"/>
      <c r="M213" s="756"/>
    </row>
    <row r="214" spans="2:13" ht="18">
      <c r="B214" s="742" t="str">
        <f>'Pl Orçamentária'!B87</f>
        <v>5.3.9</v>
      </c>
      <c r="C214" s="749" t="str">
        <f>VLOOKUP(B214,'Pl Orçamentária'!$B$17:$L$238,4,FALSE)</f>
        <v>Porta papel toalha em plástico ABS, branco</v>
      </c>
      <c r="D214" s="763" t="s">
        <v>55</v>
      </c>
      <c r="E214" s="343" t="s">
        <v>261</v>
      </c>
      <c r="F214" s="328">
        <v>1</v>
      </c>
      <c r="G214" s="362"/>
      <c r="H214" s="361"/>
      <c r="I214" s="356"/>
      <c r="J214" s="361"/>
      <c r="K214" s="356"/>
      <c r="L214" s="356"/>
      <c r="M214" s="755">
        <f>SUM(F214:F232)</f>
        <v>19</v>
      </c>
    </row>
    <row r="215" spans="2:13" ht="18">
      <c r="B215" s="743"/>
      <c r="C215" s="770"/>
      <c r="D215" s="764"/>
      <c r="E215" s="352" t="s">
        <v>373</v>
      </c>
      <c r="F215" s="46">
        <v>1</v>
      </c>
      <c r="G215" s="459"/>
      <c r="H215" s="345"/>
      <c r="I215" s="354"/>
      <c r="J215" s="345"/>
      <c r="K215" s="354"/>
      <c r="L215" s="354"/>
      <c r="M215" s="756"/>
    </row>
    <row r="216" spans="2:13" ht="18">
      <c r="B216" s="743"/>
      <c r="C216" s="770"/>
      <c r="D216" s="764"/>
      <c r="E216" s="352" t="s">
        <v>423</v>
      </c>
      <c r="F216" s="46">
        <v>1</v>
      </c>
      <c r="G216" s="459"/>
      <c r="H216" s="345"/>
      <c r="I216" s="354"/>
      <c r="J216" s="345"/>
      <c r="K216" s="354"/>
      <c r="L216" s="354"/>
      <c r="M216" s="756"/>
    </row>
    <row r="217" spans="2:13" ht="18">
      <c r="B217" s="743"/>
      <c r="C217" s="770"/>
      <c r="D217" s="764"/>
      <c r="E217" s="352" t="s">
        <v>409</v>
      </c>
      <c r="F217" s="46">
        <v>1</v>
      </c>
      <c r="G217" s="459"/>
      <c r="H217" s="345"/>
      <c r="I217" s="354"/>
      <c r="J217" s="345"/>
      <c r="K217" s="354"/>
      <c r="L217" s="354"/>
      <c r="M217" s="756"/>
    </row>
    <row r="218" spans="2:13" ht="18">
      <c r="B218" s="743"/>
      <c r="C218" s="770"/>
      <c r="D218" s="764"/>
      <c r="E218" s="352" t="s">
        <v>262</v>
      </c>
      <c r="F218" s="46">
        <v>1</v>
      </c>
      <c r="G218" s="459"/>
      <c r="H218" s="345"/>
      <c r="I218" s="354"/>
      <c r="J218" s="345"/>
      <c r="K218" s="354"/>
      <c r="L218" s="354"/>
      <c r="M218" s="756"/>
    </row>
    <row r="219" spans="2:13" ht="18">
      <c r="B219" s="743"/>
      <c r="C219" s="770"/>
      <c r="D219" s="764"/>
      <c r="E219" s="352" t="s">
        <v>266</v>
      </c>
      <c r="F219" s="46">
        <v>1</v>
      </c>
      <c r="G219" s="459"/>
      <c r="H219" s="345"/>
      <c r="I219" s="354"/>
      <c r="J219" s="345"/>
      <c r="K219" s="354"/>
      <c r="L219" s="354"/>
      <c r="M219" s="756"/>
    </row>
    <row r="220" spans="2:13" ht="18">
      <c r="B220" s="743"/>
      <c r="C220" s="770"/>
      <c r="D220" s="764"/>
      <c r="E220" s="352" t="s">
        <v>411</v>
      </c>
      <c r="F220" s="46">
        <v>1</v>
      </c>
      <c r="G220" s="459"/>
      <c r="H220" s="345"/>
      <c r="I220" s="354"/>
      <c r="J220" s="345"/>
      <c r="K220" s="354"/>
      <c r="L220" s="354"/>
      <c r="M220" s="756"/>
    </row>
    <row r="221" spans="2:13" ht="18">
      <c r="B221" s="743"/>
      <c r="C221" s="770"/>
      <c r="D221" s="764"/>
      <c r="E221" s="352" t="s">
        <v>264</v>
      </c>
      <c r="F221" s="46">
        <v>1</v>
      </c>
      <c r="G221" s="459"/>
      <c r="H221" s="345"/>
      <c r="I221" s="354"/>
      <c r="J221" s="345"/>
      <c r="K221" s="354"/>
      <c r="L221" s="354"/>
      <c r="M221" s="756"/>
    </row>
    <row r="222" spans="2:13" ht="18">
      <c r="B222" s="743"/>
      <c r="C222" s="770"/>
      <c r="D222" s="764"/>
      <c r="E222" s="352" t="s">
        <v>424</v>
      </c>
      <c r="F222" s="46">
        <v>1</v>
      </c>
      <c r="G222" s="459"/>
      <c r="H222" s="345"/>
      <c r="I222" s="354"/>
      <c r="J222" s="345"/>
      <c r="K222" s="354"/>
      <c r="L222" s="354"/>
      <c r="M222" s="756"/>
    </row>
    <row r="223" spans="2:13" ht="18">
      <c r="B223" s="743"/>
      <c r="C223" s="770"/>
      <c r="D223" s="764"/>
      <c r="E223" s="352" t="s">
        <v>378</v>
      </c>
      <c r="F223" s="46">
        <v>1</v>
      </c>
      <c r="G223" s="459"/>
      <c r="H223" s="345"/>
      <c r="I223" s="354"/>
      <c r="J223" s="345"/>
      <c r="K223" s="354"/>
      <c r="L223" s="354"/>
      <c r="M223" s="756"/>
    </row>
    <row r="224" spans="2:13" ht="18">
      <c r="B224" s="743"/>
      <c r="C224" s="770"/>
      <c r="D224" s="764"/>
      <c r="E224" s="352" t="s">
        <v>379</v>
      </c>
      <c r="F224" s="46">
        <v>1</v>
      </c>
      <c r="G224" s="459"/>
      <c r="H224" s="345"/>
      <c r="I224" s="354"/>
      <c r="J224" s="345"/>
      <c r="K224" s="354"/>
      <c r="L224" s="354"/>
      <c r="M224" s="756"/>
    </row>
    <row r="225" spans="2:13" ht="18">
      <c r="B225" s="743"/>
      <c r="C225" s="770"/>
      <c r="D225" s="764"/>
      <c r="E225" s="352" t="s">
        <v>381</v>
      </c>
      <c r="F225" s="46">
        <v>1</v>
      </c>
      <c r="G225" s="459"/>
      <c r="H225" s="345"/>
      <c r="I225" s="354"/>
      <c r="J225" s="345"/>
      <c r="K225" s="354"/>
      <c r="L225" s="354"/>
      <c r="M225" s="756"/>
    </row>
    <row r="226" spans="2:13" ht="18">
      <c r="B226" s="743"/>
      <c r="C226" s="770"/>
      <c r="D226" s="764"/>
      <c r="E226" s="352" t="s">
        <v>413</v>
      </c>
      <c r="F226" s="46">
        <v>1</v>
      </c>
      <c r="G226" s="459"/>
      <c r="H226" s="345"/>
      <c r="I226" s="354"/>
      <c r="J226" s="345"/>
      <c r="K226" s="354"/>
      <c r="L226" s="354"/>
      <c r="M226" s="756"/>
    </row>
    <row r="227" spans="2:13" ht="18">
      <c r="B227" s="743"/>
      <c r="C227" s="770"/>
      <c r="D227" s="764"/>
      <c r="E227" s="352" t="s">
        <v>383</v>
      </c>
      <c r="F227" s="46">
        <v>1</v>
      </c>
      <c r="G227" s="459"/>
      <c r="H227" s="345"/>
      <c r="I227" s="354"/>
      <c r="J227" s="345"/>
      <c r="K227" s="354"/>
      <c r="L227" s="354"/>
      <c r="M227" s="756"/>
    </row>
    <row r="228" spans="2:13" ht="18">
      <c r="B228" s="743"/>
      <c r="C228" s="770"/>
      <c r="D228" s="764"/>
      <c r="E228" s="352" t="s">
        <v>382</v>
      </c>
      <c r="F228" s="46">
        <v>1</v>
      </c>
      <c r="G228" s="459"/>
      <c r="H228" s="345"/>
      <c r="I228" s="354"/>
      <c r="J228" s="345"/>
      <c r="K228" s="354"/>
      <c r="L228" s="354"/>
      <c r="M228" s="756"/>
    </row>
    <row r="229" spans="2:13" ht="18">
      <c r="B229" s="743"/>
      <c r="C229" s="770"/>
      <c r="D229" s="764"/>
      <c r="E229" s="334" t="s">
        <v>382</v>
      </c>
      <c r="F229" s="46">
        <v>1</v>
      </c>
      <c r="G229" s="459"/>
      <c r="H229" s="345"/>
      <c r="I229" s="354"/>
      <c r="J229" s="345"/>
      <c r="K229" s="354"/>
      <c r="L229" s="354"/>
      <c r="M229" s="756"/>
    </row>
    <row r="230" spans="2:13" ht="18">
      <c r="B230" s="743"/>
      <c r="C230" s="770"/>
      <c r="D230" s="764"/>
      <c r="E230" s="334" t="s">
        <v>414</v>
      </c>
      <c r="F230" s="46">
        <v>1</v>
      </c>
      <c r="G230" s="459"/>
      <c r="H230" s="345"/>
      <c r="I230" s="354"/>
      <c r="J230" s="345"/>
      <c r="K230" s="354"/>
      <c r="L230" s="354"/>
      <c r="M230" s="756"/>
    </row>
    <row r="231" spans="2:13" ht="18">
      <c r="B231" s="743"/>
      <c r="C231" s="770"/>
      <c r="D231" s="764"/>
      <c r="E231" s="334" t="s">
        <v>415</v>
      </c>
      <c r="F231" s="46">
        <v>1</v>
      </c>
      <c r="G231" s="459"/>
      <c r="H231" s="345"/>
      <c r="I231" s="354"/>
      <c r="J231" s="345"/>
      <c r="K231" s="354"/>
      <c r="L231" s="354"/>
      <c r="M231" s="756"/>
    </row>
    <row r="232" spans="2:13" ht="18">
      <c r="B232" s="743"/>
      <c r="C232" s="770"/>
      <c r="D232" s="764"/>
      <c r="E232" s="334" t="s">
        <v>391</v>
      </c>
      <c r="F232" s="46">
        <v>1</v>
      </c>
      <c r="G232" s="459"/>
      <c r="H232" s="345"/>
      <c r="I232" s="354"/>
      <c r="J232" s="345"/>
      <c r="K232" s="354"/>
      <c r="L232" s="354"/>
      <c r="M232" s="756"/>
    </row>
    <row r="233" spans="2:13" ht="18">
      <c r="B233" s="776" t="str">
        <f>'Pl Orçamentária'!B88</f>
        <v>5.3.10</v>
      </c>
      <c r="C233" s="726" t="str">
        <f>VLOOKUP(B233,'Pl Orçamentária'!$B$17:$L$238,4,FALSE)</f>
        <v>Porta Papel higiênico ABS, branco</v>
      </c>
      <c r="D233" s="757" t="s">
        <v>55</v>
      </c>
      <c r="E233" s="343" t="s">
        <v>391</v>
      </c>
      <c r="F233" s="331">
        <v>1</v>
      </c>
      <c r="G233" s="264"/>
      <c r="H233" s="330"/>
      <c r="I233" s="262"/>
      <c r="J233" s="330"/>
      <c r="K233" s="262"/>
      <c r="L233" s="262"/>
      <c r="M233" s="765">
        <f>SUM(F233:F239)</f>
        <v>7</v>
      </c>
    </row>
    <row r="234" spans="2:13" ht="18">
      <c r="B234" s="777"/>
      <c r="C234" s="727"/>
      <c r="D234" s="758"/>
      <c r="E234" s="352" t="s">
        <v>381</v>
      </c>
      <c r="F234" s="48">
        <v>1</v>
      </c>
      <c r="G234" s="369"/>
      <c r="H234" s="47"/>
      <c r="I234" s="363"/>
      <c r="J234" s="47"/>
      <c r="K234" s="363"/>
      <c r="L234" s="363"/>
      <c r="M234" s="766"/>
    </row>
    <row r="235" spans="2:13" ht="18">
      <c r="B235" s="777"/>
      <c r="C235" s="727"/>
      <c r="D235" s="758"/>
      <c r="E235" s="352" t="s">
        <v>381</v>
      </c>
      <c r="F235" s="48">
        <v>1</v>
      </c>
      <c r="G235" s="369"/>
      <c r="H235" s="47"/>
      <c r="I235" s="363"/>
      <c r="J235" s="47"/>
      <c r="K235" s="363"/>
      <c r="L235" s="363"/>
      <c r="M235" s="766"/>
    </row>
    <row r="236" spans="2:13" ht="18">
      <c r="B236" s="777"/>
      <c r="C236" s="727"/>
      <c r="D236" s="758"/>
      <c r="E236" s="352" t="s">
        <v>413</v>
      </c>
      <c r="F236" s="48">
        <v>1</v>
      </c>
      <c r="G236" s="369"/>
      <c r="H236" s="47"/>
      <c r="I236" s="363"/>
      <c r="J236" s="47"/>
      <c r="K236" s="363"/>
      <c r="L236" s="363"/>
      <c r="M236" s="766"/>
    </row>
    <row r="237" spans="2:13" ht="18">
      <c r="B237" s="777"/>
      <c r="C237" s="727"/>
      <c r="D237" s="758"/>
      <c r="E237" s="352" t="s">
        <v>382</v>
      </c>
      <c r="F237" s="48">
        <v>1</v>
      </c>
      <c r="G237" s="369"/>
      <c r="H237" s="47"/>
      <c r="I237" s="363"/>
      <c r="J237" s="47"/>
      <c r="K237" s="363"/>
      <c r="L237" s="363"/>
      <c r="M237" s="766"/>
    </row>
    <row r="238" spans="2:13" ht="18">
      <c r="B238" s="777"/>
      <c r="C238" s="727"/>
      <c r="D238" s="758"/>
      <c r="E238" s="352" t="s">
        <v>382</v>
      </c>
      <c r="F238" s="48">
        <v>1</v>
      </c>
      <c r="G238" s="369"/>
      <c r="H238" s="47"/>
      <c r="I238" s="363"/>
      <c r="J238" s="47"/>
      <c r="K238" s="363"/>
      <c r="L238" s="363"/>
      <c r="M238" s="766"/>
    </row>
    <row r="239" spans="2:13" ht="18">
      <c r="B239" s="778"/>
      <c r="C239" s="728"/>
      <c r="D239" s="759"/>
      <c r="E239" s="344" t="s">
        <v>391</v>
      </c>
      <c r="F239" s="332">
        <v>1</v>
      </c>
      <c r="G239" s="370"/>
      <c r="H239" s="360"/>
      <c r="I239" s="364"/>
      <c r="J239" s="360"/>
      <c r="K239" s="364"/>
      <c r="L239" s="364"/>
      <c r="M239" s="767"/>
    </row>
    <row r="240" spans="2:13" ht="7.5" customHeight="1" thickBot="1">
      <c r="B240" s="53"/>
      <c r="C240" s="52"/>
      <c r="D240" s="51"/>
      <c r="E240" s="49"/>
      <c r="F240" s="50"/>
      <c r="G240" s="50"/>
      <c r="H240" s="79"/>
      <c r="I240" s="50"/>
      <c r="J240" s="50"/>
      <c r="K240" s="79"/>
      <c r="L240" s="50"/>
      <c r="M240" s="148"/>
    </row>
    <row r="241" spans="2:13" ht="22.5" customHeight="1" thickBot="1">
      <c r="B241" s="212" t="str">
        <f>'Pl Orçamentária'!B90</f>
        <v>6.00</v>
      </c>
      <c r="C241" s="454" t="str">
        <f>VLOOKUP(B241,'Pl Orçamentária'!$B$17:$L$238,4,FALSE)</f>
        <v>INSTALAÇÕES ELÉTRICAS, LÓGICASE E COMBATE AO INCÊNDIO</v>
      </c>
      <c r="D241" s="201"/>
      <c r="E241" s="202"/>
      <c r="F241" s="203"/>
      <c r="G241" s="203"/>
      <c r="H241" s="203"/>
      <c r="I241" s="203"/>
      <c r="J241" s="203"/>
      <c r="K241" s="203"/>
      <c r="L241" s="203"/>
      <c r="M241" s="204"/>
    </row>
    <row r="242" spans="2:13" ht="7.5" customHeight="1">
      <c r="B242" s="78"/>
      <c r="C242" s="51"/>
      <c r="D242" s="51"/>
      <c r="E242" s="78"/>
      <c r="F242" s="50"/>
      <c r="G242" s="50"/>
      <c r="H242" s="50"/>
      <c r="I242" s="50"/>
      <c r="J242" s="50"/>
      <c r="K242" s="50"/>
      <c r="L242" s="50"/>
      <c r="M242" s="50"/>
    </row>
    <row r="243" spans="2:13" ht="22.5" customHeight="1">
      <c r="B243" s="233" t="str">
        <f>'Pl Orçamentária'!B92</f>
        <v>6.1</v>
      </c>
      <c r="C243" s="456" t="str">
        <f>VLOOKUP(B243,'Pl Orçamentária'!$B$17:$L$238,4,FALSE)</f>
        <v>QUADROS, DISJUNTORES E DISPOSITIVOS</v>
      </c>
      <c r="D243" s="235"/>
      <c r="E243" s="236"/>
      <c r="F243" s="237"/>
      <c r="G243" s="237"/>
      <c r="H243" s="237"/>
      <c r="I243" s="237"/>
      <c r="J243" s="237"/>
      <c r="K243" s="237"/>
      <c r="L243" s="237"/>
      <c r="M243" s="238"/>
    </row>
    <row r="244" spans="2:13" ht="7.5" customHeight="1">
      <c r="B244" s="78"/>
      <c r="C244" s="51"/>
      <c r="D244" s="51"/>
      <c r="E244" s="78"/>
      <c r="F244" s="50"/>
      <c r="G244" s="50"/>
      <c r="H244" s="50"/>
      <c r="I244" s="50"/>
      <c r="J244" s="50"/>
      <c r="K244" s="50"/>
      <c r="L244" s="50"/>
      <c r="M244" s="50"/>
    </row>
    <row r="245" spans="2:13" ht="19.5" customHeight="1">
      <c r="B245" s="210" t="str">
        <f>'Pl Orçamentária'!B94</f>
        <v>6.1.1</v>
      </c>
      <c r="C245" s="490" t="str">
        <f>VLOOKUP(B245,'Pl Orçamentária'!$B$17:$L$238,4,FALSE)</f>
        <v>Quadro de medição trifásica com caixa</v>
      </c>
      <c r="D245" s="490" t="s">
        <v>55</v>
      </c>
      <c r="E245" s="222"/>
      <c r="F245" s="165">
        <v>1</v>
      </c>
      <c r="G245" s="211"/>
      <c r="H245" s="211"/>
      <c r="I245" s="211"/>
      <c r="J245" s="211"/>
      <c r="K245" s="211"/>
      <c r="L245" s="211"/>
      <c r="M245" s="165">
        <f>F245</f>
        <v>1</v>
      </c>
    </row>
    <row r="246" spans="2:13" ht="7.5" customHeight="1">
      <c r="B246" s="78"/>
      <c r="C246" s="51"/>
      <c r="D246" s="51"/>
      <c r="E246" s="78"/>
      <c r="F246" s="50"/>
      <c r="G246" s="50"/>
      <c r="H246" s="50"/>
      <c r="I246" s="50"/>
      <c r="J246" s="50"/>
      <c r="K246" s="50"/>
      <c r="L246" s="50"/>
      <c r="M246" s="50"/>
    </row>
    <row r="247" spans="2:13" ht="22.5" customHeight="1">
      <c r="B247" s="233" t="str">
        <f>'Pl Orçamentária'!B96</f>
        <v>6.2</v>
      </c>
      <c r="C247" s="456" t="str">
        <f>VLOOKUP(B247,'Pl Orçamentária'!$B$17:$L$238,4,FALSE)</f>
        <v>PONTOS,INTERRUPTORES E TOMADAS</v>
      </c>
      <c r="D247" s="235"/>
      <c r="E247" s="236"/>
      <c r="F247" s="237"/>
      <c r="G247" s="237"/>
      <c r="H247" s="237"/>
      <c r="I247" s="237"/>
      <c r="J247" s="237"/>
      <c r="K247" s="237"/>
      <c r="L247" s="237"/>
      <c r="M247" s="238"/>
    </row>
    <row r="248" spans="2:13" ht="7.5" customHeight="1">
      <c r="B248" s="78"/>
      <c r="C248" s="51"/>
      <c r="D248" s="51"/>
      <c r="E248" s="78"/>
      <c r="F248" s="50"/>
      <c r="G248" s="50"/>
      <c r="H248" s="50"/>
      <c r="I248" s="50"/>
      <c r="J248" s="50"/>
      <c r="K248" s="50"/>
      <c r="L248" s="50"/>
      <c r="M248" s="50"/>
    </row>
    <row r="249" spans="2:13" ht="36">
      <c r="B249" s="210" t="str">
        <f>'Pl Orçamentária'!B98</f>
        <v>6.2.1</v>
      </c>
      <c r="C249" s="490" t="str">
        <f>VLOOKUP(B249,'Pl Orçamentária'!$B$17:$L$238,4,FALSE)</f>
        <v>Ponto de luz em teto ou parede, com eletroduto pvc rígido embutido Ø 3/4"</v>
      </c>
      <c r="D249" s="490" t="s">
        <v>87</v>
      </c>
      <c r="E249" s="575" t="str">
        <f>C265</f>
        <v>Luminária tipo arandela </v>
      </c>
      <c r="F249" s="165">
        <f>M265</f>
        <v>16</v>
      </c>
      <c r="G249" s="215"/>
      <c r="H249" s="215"/>
      <c r="I249" s="215"/>
      <c r="J249" s="215"/>
      <c r="K249" s="215"/>
      <c r="L249" s="215"/>
      <c r="M249" s="357">
        <f>SUM(F249:F249)</f>
        <v>16</v>
      </c>
    </row>
    <row r="250" spans="2:13" ht="18" customHeight="1">
      <c r="B250" s="749" t="str">
        <f>'Pl Orçamentária'!B99</f>
        <v>6.2.2</v>
      </c>
      <c r="C250" s="768" t="str">
        <f>VLOOKUP(B250,'Pl Orçamentária'!$B$17:$L$238,4,FALSE)</f>
        <v>Ponto de tomada 2p+t, de embutir, 10 A, com eletroduto de pvc rígido embutido Ø 3/4", fio rigido 2,5mm² (fio 12), inclusive placa em pvc e aterramento</v>
      </c>
      <c r="D250" s="768" t="s">
        <v>87</v>
      </c>
      <c r="E250" s="469" t="s">
        <v>428</v>
      </c>
      <c r="F250" s="349">
        <v>1</v>
      </c>
      <c r="G250" s="356"/>
      <c r="H250" s="356"/>
      <c r="I250" s="356"/>
      <c r="J250" s="356"/>
      <c r="K250" s="356"/>
      <c r="L250" s="356"/>
      <c r="M250" s="746">
        <f>SUM(F250:F253)</f>
        <v>4</v>
      </c>
    </row>
    <row r="251" spans="2:13" ht="18" customHeight="1">
      <c r="B251" s="770"/>
      <c r="C251" s="769"/>
      <c r="D251" s="769"/>
      <c r="E251" s="339" t="s">
        <v>429</v>
      </c>
      <c r="F251" s="347">
        <v>1</v>
      </c>
      <c r="G251" s="354"/>
      <c r="H251" s="354"/>
      <c r="I251" s="354"/>
      <c r="J251" s="354"/>
      <c r="K251" s="354"/>
      <c r="L251" s="354"/>
      <c r="M251" s="747"/>
    </row>
    <row r="252" spans="2:13" ht="18" customHeight="1">
      <c r="B252" s="770"/>
      <c r="C252" s="769"/>
      <c r="D252" s="769"/>
      <c r="E252" s="339" t="s">
        <v>383</v>
      </c>
      <c r="F252" s="347">
        <v>1</v>
      </c>
      <c r="G252" s="354"/>
      <c r="H252" s="354"/>
      <c r="I252" s="354"/>
      <c r="J252" s="354"/>
      <c r="K252" s="354"/>
      <c r="L252" s="354"/>
      <c r="M252" s="747"/>
    </row>
    <row r="253" spans="2:13" ht="18" customHeight="1">
      <c r="B253" s="770"/>
      <c r="C253" s="769"/>
      <c r="D253" s="769"/>
      <c r="E253" s="588" t="s">
        <v>414</v>
      </c>
      <c r="F253" s="348">
        <v>1</v>
      </c>
      <c r="G253" s="354"/>
      <c r="H253" s="354"/>
      <c r="I253" s="354"/>
      <c r="J253" s="354"/>
      <c r="K253" s="354"/>
      <c r="L253" s="354"/>
      <c r="M253" s="747"/>
    </row>
    <row r="254" spans="2:13" ht="90">
      <c r="B254" s="447" t="str">
        <f>'Pl Orçamentária'!B100</f>
        <v>6.2.3</v>
      </c>
      <c r="C254" s="447" t="str">
        <f>VLOOKUP(B254,'Pl Orçamentária'!$B$17:$L$238,4,FALSE)</f>
        <v>Ponto de tomada 2p+t, de embutir, 20 A, com eletroduto de pvc rígido embutido Ø 3/4", fio rigido 4mm² (fio 12), inclusive placa em pvc e aterramento</v>
      </c>
      <c r="D254" s="447" t="s">
        <v>87</v>
      </c>
      <c r="E254" s="422" t="s">
        <v>425</v>
      </c>
      <c r="F254" s="326">
        <v>1</v>
      </c>
      <c r="G254" s="349"/>
      <c r="H254" s="349"/>
      <c r="I254" s="349"/>
      <c r="J254" s="349"/>
      <c r="K254" s="349"/>
      <c r="L254" s="349"/>
      <c r="M254" s="544">
        <f>SUM(F254:F254)</f>
        <v>1</v>
      </c>
    </row>
    <row r="255" spans="2:13" ht="18" customHeight="1">
      <c r="B255" s="749" t="str">
        <f>'Pl Orçamentária'!B101</f>
        <v>6.2.4</v>
      </c>
      <c r="C255" s="749" t="str">
        <f>VLOOKUP(B255,'Pl Orçamentária'!$B$17:$L$238,4,FALSE)</f>
        <v>Ponto de telefone, com eletroduto de pvc rígido embutido Ø 3/4", inclusive fio trançado 2 x 22</v>
      </c>
      <c r="D255" s="749" t="s">
        <v>87</v>
      </c>
      <c r="E255" s="242" t="s">
        <v>426</v>
      </c>
      <c r="F255" s="349">
        <v>1</v>
      </c>
      <c r="G255" s="356"/>
      <c r="H255" s="356"/>
      <c r="I255" s="356"/>
      <c r="J255" s="356"/>
      <c r="K255" s="356"/>
      <c r="L255" s="356"/>
      <c r="M255" s="746">
        <f>SUM(F255:F256)</f>
        <v>2</v>
      </c>
    </row>
    <row r="256" spans="2:13" ht="18" customHeight="1">
      <c r="B256" s="770"/>
      <c r="C256" s="750"/>
      <c r="D256" s="750"/>
      <c r="E256" s="334" t="s">
        <v>282</v>
      </c>
      <c r="F256" s="347">
        <v>1</v>
      </c>
      <c r="G256" s="354"/>
      <c r="H256" s="354"/>
      <c r="I256" s="354"/>
      <c r="J256" s="354"/>
      <c r="K256" s="354"/>
      <c r="L256" s="354"/>
      <c r="M256" s="747"/>
    </row>
    <row r="257" spans="2:13" ht="18" customHeight="1">
      <c r="B257" s="749" t="str">
        <f>'Pl Orçamentária'!B102</f>
        <v>6.2.5</v>
      </c>
      <c r="C257" s="749" t="str">
        <f>VLOOKUP(B257,'Pl Orçamentária'!$B$17:$L$238,4,FALSE)</f>
        <v>Ponto para lógica, c/ eletroduto pvc rígido embutido Ø 3/4" em parede</v>
      </c>
      <c r="D257" s="749" t="s">
        <v>87</v>
      </c>
      <c r="E257" s="242" t="s">
        <v>426</v>
      </c>
      <c r="F257" s="349">
        <v>1</v>
      </c>
      <c r="G257" s="356"/>
      <c r="H257" s="356"/>
      <c r="I257" s="356"/>
      <c r="J257" s="356"/>
      <c r="K257" s="356"/>
      <c r="L257" s="356"/>
      <c r="M257" s="746">
        <f>SUM(F257:F259)</f>
        <v>3</v>
      </c>
    </row>
    <row r="258" spans="2:13" ht="18" customHeight="1">
      <c r="B258" s="770"/>
      <c r="C258" s="770"/>
      <c r="D258" s="770"/>
      <c r="E258" s="334" t="s">
        <v>378</v>
      </c>
      <c r="F258" s="347">
        <v>1</v>
      </c>
      <c r="G258" s="354"/>
      <c r="H258" s="354"/>
      <c r="I258" s="354"/>
      <c r="J258" s="354"/>
      <c r="K258" s="354"/>
      <c r="L258" s="354"/>
      <c r="M258" s="747"/>
    </row>
    <row r="259" spans="2:13" ht="18" customHeight="1">
      <c r="B259" s="750"/>
      <c r="C259" s="750"/>
      <c r="D259" s="750"/>
      <c r="E259" s="229" t="s">
        <v>282</v>
      </c>
      <c r="F259" s="348">
        <v>1</v>
      </c>
      <c r="G259" s="355"/>
      <c r="H259" s="355"/>
      <c r="I259" s="355"/>
      <c r="J259" s="355"/>
      <c r="K259" s="355"/>
      <c r="L259" s="355"/>
      <c r="M259" s="748"/>
    </row>
    <row r="260" spans="2:13" ht="54">
      <c r="B260" s="210" t="str">
        <f>'Pl Orçamentária'!B103</f>
        <v>6.2.6</v>
      </c>
      <c r="C260" s="210" t="str">
        <f>VLOOKUP(B260,'Pl Orçamentária'!$B$17:$L$238,4,FALSE)</f>
        <v>Tomada 2p+t, ABNT, 10 A, incluindo suporte e placa - fornecimento e instalação</v>
      </c>
      <c r="D260" s="210" t="s">
        <v>55</v>
      </c>
      <c r="E260" s="214" t="s">
        <v>417</v>
      </c>
      <c r="F260" s="165">
        <v>2</v>
      </c>
      <c r="G260" s="211"/>
      <c r="H260" s="165"/>
      <c r="I260" s="165"/>
      <c r="J260" s="165"/>
      <c r="K260" s="165"/>
      <c r="L260" s="165"/>
      <c r="M260" s="357">
        <f>SUM(F260:F260)</f>
        <v>2</v>
      </c>
    </row>
    <row r="261" spans="2:13" ht="7.5" customHeight="1">
      <c r="B261" s="78"/>
      <c r="C261" s="51"/>
      <c r="D261" s="51"/>
      <c r="E261" s="78"/>
      <c r="F261" s="50"/>
      <c r="G261" s="50"/>
      <c r="H261" s="50"/>
      <c r="I261" s="50"/>
      <c r="J261" s="50"/>
      <c r="K261" s="50"/>
      <c r="L261" s="50"/>
      <c r="M261" s="50"/>
    </row>
    <row r="262" spans="2:13" ht="22.5" customHeight="1">
      <c r="B262" s="233" t="str">
        <f>'Pl Orçamentária'!B105</f>
        <v>6.3</v>
      </c>
      <c r="C262" s="455" t="str">
        <f>VLOOKUP(B262,'Pl Orçamentária'!$B$17:$L$238,4,FALSE)</f>
        <v>LUMINÁRIAS</v>
      </c>
      <c r="D262" s="235"/>
      <c r="E262" s="236"/>
      <c r="F262" s="237"/>
      <c r="G262" s="237"/>
      <c r="H262" s="237"/>
      <c r="I262" s="237"/>
      <c r="J262" s="237"/>
      <c r="K262" s="237"/>
      <c r="L262" s="237"/>
      <c r="M262" s="238"/>
    </row>
    <row r="263" spans="2:13" ht="7.5" customHeight="1">
      <c r="B263" s="78"/>
      <c r="C263" s="51"/>
      <c r="D263" s="51"/>
      <c r="E263" s="78"/>
      <c r="F263" s="50"/>
      <c r="G263" s="50"/>
      <c r="H263" s="50"/>
      <c r="I263" s="50"/>
      <c r="J263" s="50"/>
      <c r="K263" s="50"/>
      <c r="L263" s="50"/>
      <c r="M263" s="50"/>
    </row>
    <row r="264" spans="2:13" ht="54">
      <c r="B264" s="210" t="str">
        <f>'Pl Orçamentária'!B107</f>
        <v>8.3.1</v>
      </c>
      <c r="C264" s="210" t="str">
        <f>VLOOKUP(B264,'Pl Orçamentária'!$B$17:$L$238,4,FALSE)</f>
        <v>Luminária de sobrepor para lâmpadas fluorescente com preteção em policarbonato 2 x 32 w (completa)</v>
      </c>
      <c r="D264" s="210" t="s">
        <v>55</v>
      </c>
      <c r="E264" s="587" t="s">
        <v>427</v>
      </c>
      <c r="F264" s="215">
        <v>4</v>
      </c>
      <c r="G264" s="211"/>
      <c r="H264" s="215"/>
      <c r="I264" s="215"/>
      <c r="J264" s="215"/>
      <c r="K264" s="215"/>
      <c r="L264" s="215"/>
      <c r="M264" s="357">
        <f>SUM(F264:F264)</f>
        <v>4</v>
      </c>
    </row>
    <row r="265" spans="2:13" ht="18" customHeight="1">
      <c r="B265" s="210" t="str">
        <f>'Pl Orçamentária'!B108</f>
        <v>8.3.2</v>
      </c>
      <c r="C265" s="486" t="str">
        <f>VLOOKUP(B265,'Pl Orçamentária'!$B$17:$L$238,4,FALSE)</f>
        <v>Luminária tipo arandela </v>
      </c>
      <c r="D265" s="210" t="s">
        <v>55</v>
      </c>
      <c r="E265" s="209" t="s">
        <v>268</v>
      </c>
      <c r="F265" s="351">
        <v>16</v>
      </c>
      <c r="G265" s="165"/>
      <c r="H265" s="165"/>
      <c r="I265" s="165"/>
      <c r="J265" s="165"/>
      <c r="K265" s="165"/>
      <c r="L265" s="165"/>
      <c r="M265" s="357">
        <f>F265</f>
        <v>16</v>
      </c>
    </row>
    <row r="266" spans="2:13" ht="18" customHeight="1">
      <c r="B266" s="751" t="str">
        <f>'Pl Orçamentária'!B109</f>
        <v>8.3.3</v>
      </c>
      <c r="C266" s="768" t="str">
        <f>VLOOKUP(B266,'Pl Orçamentária'!$B$17:$L$238,4,FALSE)</f>
        <v>Luminária de emergênica</v>
      </c>
      <c r="D266" s="760" t="s">
        <v>55</v>
      </c>
      <c r="E266" s="469" t="s">
        <v>428</v>
      </c>
      <c r="F266" s="349">
        <v>1</v>
      </c>
      <c r="G266" s="356"/>
      <c r="H266" s="356"/>
      <c r="I266" s="356"/>
      <c r="J266" s="356"/>
      <c r="K266" s="356"/>
      <c r="L266" s="356"/>
      <c r="M266" s="746">
        <f>SUM(F266:F269)</f>
        <v>4</v>
      </c>
    </row>
    <row r="267" spans="2:13" ht="18" customHeight="1">
      <c r="B267" s="752"/>
      <c r="C267" s="769"/>
      <c r="D267" s="761"/>
      <c r="E267" s="339" t="s">
        <v>429</v>
      </c>
      <c r="F267" s="347">
        <v>1</v>
      </c>
      <c r="G267" s="354"/>
      <c r="H267" s="354"/>
      <c r="I267" s="354"/>
      <c r="J267" s="354"/>
      <c r="K267" s="354"/>
      <c r="L267" s="354"/>
      <c r="M267" s="747"/>
    </row>
    <row r="268" spans="2:13" ht="18" customHeight="1">
      <c r="B268" s="752"/>
      <c r="C268" s="769"/>
      <c r="D268" s="761"/>
      <c r="E268" s="339" t="s">
        <v>383</v>
      </c>
      <c r="F268" s="347">
        <v>1</v>
      </c>
      <c r="G268" s="354"/>
      <c r="H268" s="354"/>
      <c r="I268" s="354"/>
      <c r="J268" s="354"/>
      <c r="K268" s="354"/>
      <c r="L268" s="354"/>
      <c r="M268" s="747"/>
    </row>
    <row r="269" spans="2:13" ht="18" customHeight="1">
      <c r="B269" s="774"/>
      <c r="C269" s="775"/>
      <c r="D269" s="762"/>
      <c r="E269" s="588" t="s">
        <v>414</v>
      </c>
      <c r="F269" s="348">
        <v>1</v>
      </c>
      <c r="G269" s="355"/>
      <c r="H269" s="355"/>
      <c r="I269" s="355"/>
      <c r="J269" s="355"/>
      <c r="K269" s="355"/>
      <c r="L269" s="355"/>
      <c r="M269" s="748"/>
    </row>
    <row r="270" spans="2:13" ht="7.5" customHeight="1">
      <c r="B270" s="78"/>
      <c r="C270" s="51"/>
      <c r="D270" s="51"/>
      <c r="E270" s="78"/>
      <c r="F270" s="50"/>
      <c r="G270" s="50"/>
      <c r="H270" s="50"/>
      <c r="I270" s="50"/>
      <c r="J270" s="50"/>
      <c r="K270" s="50"/>
      <c r="L270" s="50"/>
      <c r="M270" s="50"/>
    </row>
    <row r="271" spans="2:13" ht="22.5" customHeight="1">
      <c r="B271" s="233" t="str">
        <f>'Pl Orçamentária'!B111</f>
        <v>6.4</v>
      </c>
      <c r="C271" s="456" t="str">
        <f>VLOOKUP(B271,'Pl Orçamentária'!$B$17:$L$238,4,FALSE)</f>
        <v>INSTALAÇÕES DE COMBATE AO INCÊNDIO</v>
      </c>
      <c r="D271" s="235"/>
      <c r="E271" s="236"/>
      <c r="F271" s="237"/>
      <c r="G271" s="237"/>
      <c r="H271" s="237"/>
      <c r="I271" s="237"/>
      <c r="J271" s="237"/>
      <c r="K271" s="237"/>
      <c r="L271" s="237"/>
      <c r="M271" s="238"/>
    </row>
    <row r="272" spans="2:13" ht="7.5" customHeight="1">
      <c r="B272" s="78"/>
      <c r="C272" s="51"/>
      <c r="D272" s="51"/>
      <c r="E272" s="78"/>
      <c r="F272" s="50"/>
      <c r="G272" s="50"/>
      <c r="H272" s="50"/>
      <c r="I272" s="50"/>
      <c r="J272" s="50"/>
      <c r="K272" s="50"/>
      <c r="L272" s="50"/>
      <c r="M272" s="50"/>
    </row>
    <row r="273" spans="2:13" ht="18" customHeight="1">
      <c r="B273" s="210" t="str">
        <f>'Pl Orçamentária'!B113</f>
        <v>6.4.1</v>
      </c>
      <c r="C273" s="486" t="str">
        <f>VLOOKUP(B273,'Pl Orçamentária'!$B$17:$L$238,4,FALSE)</f>
        <v>Extintor incendio tp po quimico 4kg fornecimento e colocacao</v>
      </c>
      <c r="D273" s="210" t="s">
        <v>55</v>
      </c>
      <c r="E273" s="209"/>
      <c r="F273" s="351">
        <v>2</v>
      </c>
      <c r="G273" s="165"/>
      <c r="H273" s="165"/>
      <c r="I273" s="165"/>
      <c r="J273" s="165"/>
      <c r="K273" s="165"/>
      <c r="L273" s="165"/>
      <c r="M273" s="357">
        <f>F273</f>
        <v>2</v>
      </c>
    </row>
    <row r="274" spans="2:13" ht="18" customHeight="1">
      <c r="B274" s="210" t="str">
        <f>'Pl Orçamentária'!B114</f>
        <v>6.4.2</v>
      </c>
      <c r="C274" s="486" t="str">
        <f>VLOOKUP(B274,'Pl Orçamentária'!$B$17:$L$238,4,FALSE)</f>
        <v>Extintor incendio agua-pressurizada 10l incl suporte parede carga completa fornecimento e colocacao</v>
      </c>
      <c r="D274" s="210" t="s">
        <v>55</v>
      </c>
      <c r="E274" s="209"/>
      <c r="F274" s="351">
        <v>2</v>
      </c>
      <c r="G274" s="165"/>
      <c r="H274" s="165"/>
      <c r="I274" s="165"/>
      <c r="J274" s="165"/>
      <c r="K274" s="165"/>
      <c r="L274" s="165"/>
      <c r="M274" s="357">
        <f>F274</f>
        <v>2</v>
      </c>
    </row>
    <row r="275" spans="2:13" ht="7.5" customHeight="1" thickBot="1">
      <c r="B275" s="53"/>
      <c r="C275" s="52"/>
      <c r="D275" s="51"/>
      <c r="E275" s="49"/>
      <c r="F275" s="50"/>
      <c r="G275" s="50"/>
      <c r="H275" s="79"/>
      <c r="I275" s="50"/>
      <c r="J275" s="50"/>
      <c r="K275" s="79"/>
      <c r="L275" s="50"/>
      <c r="M275" s="148"/>
    </row>
    <row r="276" spans="2:13" ht="22.5" customHeight="1" thickBot="1">
      <c r="B276" s="212" t="str">
        <f>'Pl Orçamentária'!B116</f>
        <v>7.00</v>
      </c>
      <c r="C276" s="740" t="str">
        <f>VLOOKUP(B276,'Pl Orçamentária'!$B$17:$L$238,4,FALSE)</f>
        <v>REVESTIMENTO</v>
      </c>
      <c r="D276" s="741"/>
      <c r="E276" s="741"/>
      <c r="F276" s="203"/>
      <c r="G276" s="203"/>
      <c r="H276" s="203"/>
      <c r="I276" s="203"/>
      <c r="J276" s="203"/>
      <c r="K276" s="203"/>
      <c r="L276" s="203"/>
      <c r="M276" s="204"/>
    </row>
    <row r="277" spans="2:13" ht="7.5" customHeight="1">
      <c r="B277" s="78"/>
      <c r="C277" s="51"/>
      <c r="D277" s="51"/>
      <c r="E277" s="78"/>
      <c r="F277" s="50"/>
      <c r="G277" s="50"/>
      <c r="H277" s="50"/>
      <c r="I277" s="50"/>
      <c r="J277" s="50"/>
      <c r="K277" s="50"/>
      <c r="L277" s="50"/>
      <c r="M277" s="50"/>
    </row>
    <row r="278" spans="2:13" ht="22.5" customHeight="1">
      <c r="B278" s="233" t="str">
        <f>'Pl Orçamentária'!B118</f>
        <v>7.1</v>
      </c>
      <c r="C278" s="234" t="str">
        <f>VLOOKUP(B278,'Pl Orçamentária'!$B$17:$L$238,4,FALSE)</f>
        <v>RESVESTIMENTO INTERNO</v>
      </c>
      <c r="D278" s="235"/>
      <c r="E278" s="236"/>
      <c r="F278" s="237"/>
      <c r="G278" s="237"/>
      <c r="H278" s="237"/>
      <c r="I278" s="237"/>
      <c r="J278" s="237"/>
      <c r="K278" s="237"/>
      <c r="L278" s="237"/>
      <c r="M278" s="238"/>
    </row>
    <row r="279" spans="2:13" ht="7.5" customHeight="1">
      <c r="B279" s="78"/>
      <c r="C279" s="51"/>
      <c r="D279" s="51"/>
      <c r="E279" s="78"/>
      <c r="F279" s="50"/>
      <c r="G279" s="50"/>
      <c r="H279" s="50"/>
      <c r="I279" s="50"/>
      <c r="J279" s="50"/>
      <c r="K279" s="50"/>
      <c r="L279" s="50"/>
      <c r="M279" s="50"/>
    </row>
    <row r="280" spans="2:13" ht="18" customHeight="1">
      <c r="B280" s="742" t="str">
        <f>'Pl Orçamentária'!B120</f>
        <v>7.1.1</v>
      </c>
      <c r="C280" s="729" t="str">
        <f>VLOOKUP(B280,'Pl Orçamentária'!$B$17:$L$238,4,FALSE)</f>
        <v>Reboco, de parede, com argamassa traço- 1:2:8 (cimento / cal / areia), espessura 2,5 cm</v>
      </c>
      <c r="D280" s="753" t="s">
        <v>33</v>
      </c>
      <c r="E280" s="242" t="s">
        <v>391</v>
      </c>
      <c r="F280" s="420">
        <v>2</v>
      </c>
      <c r="G280" s="328">
        <f>0.6+2*2.1</f>
        <v>4.8</v>
      </c>
      <c r="H280" s="431"/>
      <c r="I280" s="225">
        <v>0.1</v>
      </c>
      <c r="J280" s="225"/>
      <c r="K280" s="225">
        <f>F280*G280*I280</f>
        <v>0.96</v>
      </c>
      <c r="L280" s="262"/>
      <c r="M280" s="732">
        <f>SUM(K280:K306)</f>
        <v>27.380000000000003</v>
      </c>
    </row>
    <row r="281" spans="2:13" ht="18" customHeight="1">
      <c r="B281" s="743"/>
      <c r="C281" s="730"/>
      <c r="D281" s="754"/>
      <c r="E281" s="334" t="s">
        <v>381</v>
      </c>
      <c r="F281" s="338">
        <v>2</v>
      </c>
      <c r="G281" s="46">
        <f>0.6+2*2.1</f>
        <v>4.8</v>
      </c>
      <c r="H281" s="463"/>
      <c r="I281" s="46">
        <v>0.1</v>
      </c>
      <c r="J281" s="333"/>
      <c r="K281" s="46">
        <f>F281*G281*I281</f>
        <v>0.96</v>
      </c>
      <c r="L281" s="363"/>
      <c r="M281" s="733"/>
    </row>
    <row r="282" spans="2:13" ht="18" customHeight="1">
      <c r="B282" s="743"/>
      <c r="C282" s="730"/>
      <c r="D282" s="754"/>
      <c r="E282" s="334" t="s">
        <v>261</v>
      </c>
      <c r="F282" s="338">
        <v>2</v>
      </c>
      <c r="G282" s="46">
        <f>0.8+2.1*2</f>
        <v>5</v>
      </c>
      <c r="H282" s="463"/>
      <c r="I282" s="46">
        <v>0.1</v>
      </c>
      <c r="J282" s="333"/>
      <c r="K282" s="46">
        <f aca="true" t="shared" si="0" ref="K282:K304">F282*G282*I282</f>
        <v>1</v>
      </c>
      <c r="L282" s="363"/>
      <c r="M282" s="733"/>
    </row>
    <row r="283" spans="2:13" ht="18" customHeight="1">
      <c r="B283" s="743"/>
      <c r="C283" s="730"/>
      <c r="D283" s="754"/>
      <c r="E283" s="334" t="s">
        <v>371</v>
      </c>
      <c r="F283" s="338">
        <v>2</v>
      </c>
      <c r="G283" s="46">
        <f aca="true" t="shared" si="1" ref="G283:G303">0.8+2.1*2</f>
        <v>5</v>
      </c>
      <c r="H283" s="463"/>
      <c r="I283" s="46">
        <v>0.1</v>
      </c>
      <c r="J283" s="333"/>
      <c r="K283" s="46">
        <f t="shared" si="0"/>
        <v>1</v>
      </c>
      <c r="L283" s="363"/>
      <c r="M283" s="733"/>
    </row>
    <row r="284" spans="2:13" ht="18" customHeight="1">
      <c r="B284" s="743"/>
      <c r="C284" s="730"/>
      <c r="D284" s="754"/>
      <c r="E284" s="334" t="s">
        <v>372</v>
      </c>
      <c r="F284" s="338">
        <v>2</v>
      </c>
      <c r="G284" s="46">
        <f t="shared" si="1"/>
        <v>5</v>
      </c>
      <c r="H284" s="463"/>
      <c r="I284" s="46">
        <v>0.1</v>
      </c>
      <c r="J284" s="333"/>
      <c r="K284" s="46">
        <f t="shared" si="0"/>
        <v>1</v>
      </c>
      <c r="L284" s="363"/>
      <c r="M284" s="733"/>
    </row>
    <row r="285" spans="2:13" ht="18" customHeight="1">
      <c r="B285" s="743"/>
      <c r="C285" s="730"/>
      <c r="D285" s="754"/>
      <c r="E285" s="334" t="s">
        <v>262</v>
      </c>
      <c r="F285" s="338">
        <v>2</v>
      </c>
      <c r="G285" s="46">
        <f t="shared" si="1"/>
        <v>5</v>
      </c>
      <c r="H285" s="463"/>
      <c r="I285" s="46">
        <v>0.1</v>
      </c>
      <c r="J285" s="333"/>
      <c r="K285" s="46">
        <f t="shared" si="0"/>
        <v>1</v>
      </c>
      <c r="L285" s="363"/>
      <c r="M285" s="733"/>
    </row>
    <row r="286" spans="2:13" ht="18" customHeight="1">
      <c r="B286" s="743"/>
      <c r="C286" s="730"/>
      <c r="D286" s="754"/>
      <c r="E286" s="334" t="s">
        <v>373</v>
      </c>
      <c r="F286" s="338">
        <v>2</v>
      </c>
      <c r="G286" s="46">
        <f t="shared" si="1"/>
        <v>5</v>
      </c>
      <c r="H286" s="463"/>
      <c r="I286" s="46">
        <v>0.1</v>
      </c>
      <c r="J286" s="333"/>
      <c r="K286" s="46">
        <f t="shared" si="0"/>
        <v>1</v>
      </c>
      <c r="L286" s="363"/>
      <c r="M286" s="733"/>
    </row>
    <row r="287" spans="2:13" ht="18" customHeight="1">
      <c r="B287" s="743"/>
      <c r="C287" s="730"/>
      <c r="D287" s="754"/>
      <c r="E287" s="334" t="s">
        <v>374</v>
      </c>
      <c r="F287" s="338">
        <v>2</v>
      </c>
      <c r="G287" s="46">
        <f t="shared" si="1"/>
        <v>5</v>
      </c>
      <c r="H287" s="463"/>
      <c r="I287" s="46">
        <v>0.1</v>
      </c>
      <c r="J287" s="333"/>
      <c r="K287" s="46">
        <f t="shared" si="0"/>
        <v>1</v>
      </c>
      <c r="L287" s="363"/>
      <c r="M287" s="733"/>
    </row>
    <row r="288" spans="2:13" ht="18" customHeight="1">
      <c r="B288" s="743"/>
      <c r="C288" s="730"/>
      <c r="D288" s="754"/>
      <c r="E288" s="334" t="s">
        <v>375</v>
      </c>
      <c r="F288" s="338">
        <v>2</v>
      </c>
      <c r="G288" s="46">
        <f t="shared" si="1"/>
        <v>5</v>
      </c>
      <c r="H288" s="463"/>
      <c r="I288" s="46">
        <v>0.1</v>
      </c>
      <c r="J288" s="333"/>
      <c r="K288" s="46">
        <f t="shared" si="0"/>
        <v>1</v>
      </c>
      <c r="L288" s="363"/>
      <c r="M288" s="733"/>
    </row>
    <row r="289" spans="2:13" ht="18" customHeight="1">
      <c r="B289" s="743"/>
      <c r="C289" s="730"/>
      <c r="D289" s="754"/>
      <c r="E289" s="334" t="s">
        <v>263</v>
      </c>
      <c r="F289" s="338">
        <v>2</v>
      </c>
      <c r="G289" s="46">
        <f t="shared" si="1"/>
        <v>5</v>
      </c>
      <c r="H289" s="463"/>
      <c r="I289" s="46">
        <v>0.1</v>
      </c>
      <c r="J289" s="333"/>
      <c r="K289" s="46">
        <f t="shared" si="0"/>
        <v>1</v>
      </c>
      <c r="L289" s="363"/>
      <c r="M289" s="733"/>
    </row>
    <row r="290" spans="2:13" ht="18" customHeight="1">
      <c r="B290" s="743"/>
      <c r="C290" s="730"/>
      <c r="D290" s="754"/>
      <c r="E290" s="334" t="s">
        <v>376</v>
      </c>
      <c r="F290" s="338">
        <v>2</v>
      </c>
      <c r="G290" s="46">
        <f t="shared" si="1"/>
        <v>5</v>
      </c>
      <c r="H290" s="463"/>
      <c r="I290" s="46">
        <v>0.1</v>
      </c>
      <c r="J290" s="333"/>
      <c r="K290" s="46">
        <f t="shared" si="0"/>
        <v>1</v>
      </c>
      <c r="L290" s="363"/>
      <c r="M290" s="733"/>
    </row>
    <row r="291" spans="2:13" ht="18" customHeight="1">
      <c r="B291" s="743"/>
      <c r="C291" s="730"/>
      <c r="D291" s="754"/>
      <c r="E291" s="334" t="s">
        <v>264</v>
      </c>
      <c r="F291" s="338">
        <v>2</v>
      </c>
      <c r="G291" s="46">
        <f t="shared" si="1"/>
        <v>5</v>
      </c>
      <c r="H291" s="463"/>
      <c r="I291" s="46">
        <v>0.1</v>
      </c>
      <c r="J291" s="333"/>
      <c r="K291" s="46">
        <f t="shared" si="0"/>
        <v>1</v>
      </c>
      <c r="L291" s="363"/>
      <c r="M291" s="733"/>
    </row>
    <row r="292" spans="2:13" ht="18" customHeight="1">
      <c r="B292" s="743"/>
      <c r="C292" s="730"/>
      <c r="D292" s="754"/>
      <c r="E292" s="334" t="s">
        <v>377</v>
      </c>
      <c r="F292" s="338">
        <v>2</v>
      </c>
      <c r="G292" s="46">
        <f t="shared" si="1"/>
        <v>5</v>
      </c>
      <c r="H292" s="463"/>
      <c r="I292" s="46">
        <v>0.1</v>
      </c>
      <c r="J292" s="333"/>
      <c r="K292" s="46">
        <f t="shared" si="0"/>
        <v>1</v>
      </c>
      <c r="L292" s="363"/>
      <c r="M292" s="733"/>
    </row>
    <row r="293" spans="2:13" ht="18" customHeight="1">
      <c r="B293" s="743"/>
      <c r="C293" s="730"/>
      <c r="D293" s="754"/>
      <c r="E293" s="334" t="s">
        <v>378</v>
      </c>
      <c r="F293" s="338">
        <v>2</v>
      </c>
      <c r="G293" s="46">
        <f t="shared" si="1"/>
        <v>5</v>
      </c>
      <c r="H293" s="463"/>
      <c r="I293" s="46">
        <v>0.1</v>
      </c>
      <c r="J293" s="333"/>
      <c r="K293" s="46">
        <f t="shared" si="0"/>
        <v>1</v>
      </c>
      <c r="L293" s="363"/>
      <c r="M293" s="733"/>
    </row>
    <row r="294" spans="2:13" ht="18" customHeight="1">
      <c r="B294" s="743"/>
      <c r="C294" s="730"/>
      <c r="D294" s="754"/>
      <c r="E294" s="334" t="s">
        <v>379</v>
      </c>
      <c r="F294" s="338">
        <v>2</v>
      </c>
      <c r="G294" s="46">
        <f t="shared" si="1"/>
        <v>5</v>
      </c>
      <c r="H294" s="463"/>
      <c r="I294" s="46">
        <v>0.1</v>
      </c>
      <c r="J294" s="333"/>
      <c r="K294" s="46">
        <f t="shared" si="0"/>
        <v>1</v>
      </c>
      <c r="L294" s="363"/>
      <c r="M294" s="733"/>
    </row>
    <row r="295" spans="2:13" ht="18">
      <c r="B295" s="743"/>
      <c r="C295" s="730"/>
      <c r="D295" s="754"/>
      <c r="E295" s="334" t="s">
        <v>380</v>
      </c>
      <c r="F295" s="338">
        <v>2</v>
      </c>
      <c r="G295" s="46">
        <f t="shared" si="1"/>
        <v>5</v>
      </c>
      <c r="H295" s="463"/>
      <c r="I295" s="46">
        <v>0.1</v>
      </c>
      <c r="J295" s="333"/>
      <c r="K295" s="46">
        <f t="shared" si="0"/>
        <v>1</v>
      </c>
      <c r="L295" s="363"/>
      <c r="M295" s="733"/>
    </row>
    <row r="296" spans="2:13" ht="18">
      <c r="B296" s="743"/>
      <c r="C296" s="730"/>
      <c r="D296" s="754"/>
      <c r="E296" s="334" t="s">
        <v>381</v>
      </c>
      <c r="F296" s="338">
        <v>2</v>
      </c>
      <c r="G296" s="46">
        <f t="shared" si="1"/>
        <v>5</v>
      </c>
      <c r="H296" s="463"/>
      <c r="I296" s="46">
        <v>0.1</v>
      </c>
      <c r="J296" s="333"/>
      <c r="K296" s="46">
        <f t="shared" si="0"/>
        <v>1</v>
      </c>
      <c r="L296" s="363"/>
      <c r="M296" s="733"/>
    </row>
    <row r="297" spans="2:13" ht="18">
      <c r="B297" s="743"/>
      <c r="C297" s="730"/>
      <c r="D297" s="754"/>
      <c r="E297" s="334" t="s">
        <v>382</v>
      </c>
      <c r="F297" s="338">
        <v>2</v>
      </c>
      <c r="G297" s="46">
        <f t="shared" si="1"/>
        <v>5</v>
      </c>
      <c r="H297" s="463"/>
      <c r="I297" s="46">
        <v>0.1</v>
      </c>
      <c r="J297" s="333"/>
      <c r="K297" s="46">
        <f t="shared" si="0"/>
        <v>1</v>
      </c>
      <c r="L297" s="363"/>
      <c r="M297" s="733"/>
    </row>
    <row r="298" spans="2:13" ht="18">
      <c r="B298" s="743"/>
      <c r="C298" s="730"/>
      <c r="D298" s="754"/>
      <c r="E298" s="334" t="s">
        <v>383</v>
      </c>
      <c r="F298" s="338">
        <v>2</v>
      </c>
      <c r="G298" s="46">
        <f t="shared" si="1"/>
        <v>5</v>
      </c>
      <c r="H298" s="463"/>
      <c r="I298" s="46">
        <v>0.1</v>
      </c>
      <c r="J298" s="333"/>
      <c r="K298" s="46">
        <f t="shared" si="0"/>
        <v>1</v>
      </c>
      <c r="L298" s="363"/>
      <c r="M298" s="733"/>
    </row>
    <row r="299" spans="2:13" ht="18">
      <c r="B299" s="743"/>
      <c r="C299" s="730"/>
      <c r="D299" s="754"/>
      <c r="E299" s="334" t="s">
        <v>382</v>
      </c>
      <c r="F299" s="338">
        <v>2</v>
      </c>
      <c r="G299" s="46">
        <f t="shared" si="1"/>
        <v>5</v>
      </c>
      <c r="H299" s="463"/>
      <c r="I299" s="46">
        <v>0.1</v>
      </c>
      <c r="J299" s="333"/>
      <c r="K299" s="46">
        <f t="shared" si="0"/>
        <v>1</v>
      </c>
      <c r="L299" s="363"/>
      <c r="M299" s="733"/>
    </row>
    <row r="300" spans="2:13" ht="18">
      <c r="B300" s="743"/>
      <c r="C300" s="730"/>
      <c r="D300" s="754"/>
      <c r="E300" s="334" t="s">
        <v>382</v>
      </c>
      <c r="F300" s="338">
        <v>2</v>
      </c>
      <c r="G300" s="46">
        <f t="shared" si="1"/>
        <v>5</v>
      </c>
      <c r="H300" s="463"/>
      <c r="I300" s="46">
        <v>0.1</v>
      </c>
      <c r="J300" s="333"/>
      <c r="K300" s="46">
        <f t="shared" si="0"/>
        <v>1</v>
      </c>
      <c r="L300" s="363"/>
      <c r="M300" s="733"/>
    </row>
    <row r="301" spans="2:13" ht="18">
      <c r="B301" s="743"/>
      <c r="C301" s="730"/>
      <c r="D301" s="754"/>
      <c r="E301" s="334" t="s">
        <v>384</v>
      </c>
      <c r="F301" s="338">
        <v>2</v>
      </c>
      <c r="G301" s="46">
        <f t="shared" si="1"/>
        <v>5</v>
      </c>
      <c r="H301" s="463"/>
      <c r="I301" s="46">
        <v>0.1</v>
      </c>
      <c r="J301" s="333"/>
      <c r="K301" s="46">
        <f t="shared" si="0"/>
        <v>1</v>
      </c>
      <c r="L301" s="363"/>
      <c r="M301" s="733"/>
    </row>
    <row r="302" spans="2:13" ht="18">
      <c r="B302" s="743"/>
      <c r="C302" s="730"/>
      <c r="D302" s="754"/>
      <c r="E302" s="334" t="s">
        <v>385</v>
      </c>
      <c r="F302" s="338">
        <v>2</v>
      </c>
      <c r="G302" s="46">
        <f t="shared" si="1"/>
        <v>5</v>
      </c>
      <c r="H302" s="463"/>
      <c r="I302" s="46">
        <v>0.1</v>
      </c>
      <c r="J302" s="333"/>
      <c r="K302" s="46">
        <f t="shared" si="0"/>
        <v>1</v>
      </c>
      <c r="L302" s="363"/>
      <c r="M302" s="733"/>
    </row>
    <row r="303" spans="2:13" ht="18">
      <c r="B303" s="743"/>
      <c r="C303" s="730"/>
      <c r="D303" s="754"/>
      <c r="E303" s="334" t="s">
        <v>386</v>
      </c>
      <c r="F303" s="338">
        <v>2</v>
      </c>
      <c r="G303" s="46">
        <f t="shared" si="1"/>
        <v>5</v>
      </c>
      <c r="H303" s="463"/>
      <c r="I303" s="46">
        <v>0.1</v>
      </c>
      <c r="J303" s="333"/>
      <c r="K303" s="46">
        <f t="shared" si="0"/>
        <v>1</v>
      </c>
      <c r="L303" s="363"/>
      <c r="M303" s="733"/>
    </row>
    <row r="304" spans="2:13" ht="18">
      <c r="B304" s="743"/>
      <c r="C304" s="730"/>
      <c r="D304" s="754"/>
      <c r="E304" s="334" t="s">
        <v>88</v>
      </c>
      <c r="F304" s="338">
        <v>2</v>
      </c>
      <c r="G304" s="46">
        <f>1.2+2*2.1</f>
        <v>5.4</v>
      </c>
      <c r="H304" s="463"/>
      <c r="I304" s="46">
        <v>0.1</v>
      </c>
      <c r="J304" s="333"/>
      <c r="K304" s="46">
        <f t="shared" si="0"/>
        <v>1.08</v>
      </c>
      <c r="L304" s="363"/>
      <c r="M304" s="733"/>
    </row>
    <row r="305" spans="2:13" ht="18">
      <c r="B305" s="743"/>
      <c r="C305" s="730"/>
      <c r="D305" s="754"/>
      <c r="E305" s="334" t="s">
        <v>88</v>
      </c>
      <c r="F305" s="338">
        <v>2</v>
      </c>
      <c r="G305" s="46">
        <f>1.5+2*2.1</f>
        <v>5.7</v>
      </c>
      <c r="H305" s="463"/>
      <c r="I305" s="46">
        <v>0.1</v>
      </c>
      <c r="J305" s="333"/>
      <c r="K305" s="46">
        <f>F305*G305*I305</f>
        <v>1.1400000000000001</v>
      </c>
      <c r="L305" s="363"/>
      <c r="M305" s="733"/>
    </row>
    <row r="306" spans="2:13" ht="18">
      <c r="B306" s="743"/>
      <c r="C306" s="730"/>
      <c r="D306" s="754"/>
      <c r="E306" s="334" t="s">
        <v>266</v>
      </c>
      <c r="F306" s="338">
        <v>2</v>
      </c>
      <c r="G306" s="46">
        <f>2+2*2.1</f>
        <v>6.2</v>
      </c>
      <c r="H306" s="463"/>
      <c r="I306" s="46">
        <v>0.1</v>
      </c>
      <c r="J306" s="333"/>
      <c r="K306" s="46">
        <f>F306*G306*I306</f>
        <v>1.2400000000000002</v>
      </c>
      <c r="L306" s="363"/>
      <c r="M306" s="733"/>
    </row>
    <row r="307" spans="2:13" ht="18" customHeight="1">
      <c r="B307" s="726" t="str">
        <f>'Pl Orçamentária'!B121</f>
        <v>7.1.2</v>
      </c>
      <c r="C307" s="729" t="str">
        <f>VLOOKUP(B307,'Pl Orçamentária'!$B$17:$L$238,4,FALSE)</f>
        <v>Revestimento cerâmico para paredes internas </v>
      </c>
      <c r="D307" s="729" t="s">
        <v>33</v>
      </c>
      <c r="E307" s="343" t="s">
        <v>261</v>
      </c>
      <c r="F307" s="420"/>
      <c r="G307" s="328">
        <f>0.8+2.1*2</f>
        <v>5</v>
      </c>
      <c r="H307" s="657"/>
      <c r="I307" s="225">
        <v>0.2</v>
      </c>
      <c r="J307" s="420"/>
      <c r="K307" s="328">
        <f>G307*I307</f>
        <v>1</v>
      </c>
      <c r="L307" s="262"/>
      <c r="M307" s="765">
        <f>SUM(K307:K321)</f>
        <v>30.809999999999995</v>
      </c>
    </row>
    <row r="308" spans="2:13" ht="18" customHeight="1">
      <c r="B308" s="727"/>
      <c r="C308" s="730"/>
      <c r="D308" s="730"/>
      <c r="E308" s="352" t="s">
        <v>423</v>
      </c>
      <c r="F308" s="338"/>
      <c r="G308" s="46">
        <f>0.8+2.1*2</f>
        <v>5</v>
      </c>
      <c r="H308" s="658"/>
      <c r="I308" s="333">
        <v>0.2</v>
      </c>
      <c r="J308" s="338"/>
      <c r="K308" s="46">
        <f>G308*I308</f>
        <v>1</v>
      </c>
      <c r="L308" s="363"/>
      <c r="M308" s="766"/>
    </row>
    <row r="309" spans="2:13" ht="18" customHeight="1">
      <c r="B309" s="727"/>
      <c r="C309" s="730"/>
      <c r="D309" s="730"/>
      <c r="E309" s="352" t="s">
        <v>410</v>
      </c>
      <c r="F309" s="338"/>
      <c r="G309" s="46">
        <f>0.8+2.1*2</f>
        <v>5</v>
      </c>
      <c r="H309" s="658"/>
      <c r="I309" s="333">
        <v>0.2</v>
      </c>
      <c r="J309" s="338"/>
      <c r="K309" s="46">
        <f aca="true" t="shared" si="2" ref="K309:K320">G309*I309</f>
        <v>1</v>
      </c>
      <c r="L309" s="363"/>
      <c r="M309" s="766"/>
    </row>
    <row r="310" spans="2:13" ht="18" customHeight="1">
      <c r="B310" s="727"/>
      <c r="C310" s="730"/>
      <c r="D310" s="730"/>
      <c r="E310" s="352" t="s">
        <v>391</v>
      </c>
      <c r="F310" s="338"/>
      <c r="G310" s="46">
        <f>0.6+2.1*2</f>
        <v>4.8</v>
      </c>
      <c r="H310" s="658"/>
      <c r="I310" s="333">
        <v>0.2</v>
      </c>
      <c r="J310" s="338"/>
      <c r="K310" s="46">
        <f t="shared" si="2"/>
        <v>0.96</v>
      </c>
      <c r="L310" s="363"/>
      <c r="M310" s="766"/>
    </row>
    <row r="311" spans="2:13" ht="18" customHeight="1">
      <c r="B311" s="727"/>
      <c r="C311" s="730"/>
      <c r="D311" s="730"/>
      <c r="E311" s="352" t="s">
        <v>381</v>
      </c>
      <c r="F311" s="338"/>
      <c r="G311" s="46">
        <f>0.6+2.1*2</f>
        <v>4.8</v>
      </c>
      <c r="H311" s="658"/>
      <c r="I311" s="333">
        <v>0.2</v>
      </c>
      <c r="J311" s="338"/>
      <c r="K311" s="46">
        <f t="shared" si="2"/>
        <v>0.96</v>
      </c>
      <c r="L311" s="363"/>
      <c r="M311" s="766"/>
    </row>
    <row r="312" spans="2:13" ht="18" customHeight="1">
      <c r="B312" s="727"/>
      <c r="C312" s="730"/>
      <c r="D312" s="730"/>
      <c r="E312" s="352" t="s">
        <v>373</v>
      </c>
      <c r="F312" s="338"/>
      <c r="G312" s="46">
        <f aca="true" t="shared" si="3" ref="G312:G320">0.8+2.1*2</f>
        <v>5</v>
      </c>
      <c r="H312" s="658"/>
      <c r="I312" s="333">
        <v>0.2</v>
      </c>
      <c r="J312" s="338"/>
      <c r="K312" s="46">
        <f t="shared" si="2"/>
        <v>1</v>
      </c>
      <c r="L312" s="363"/>
      <c r="M312" s="766"/>
    </row>
    <row r="313" spans="2:13" ht="18" customHeight="1">
      <c r="B313" s="727"/>
      <c r="C313" s="730"/>
      <c r="D313" s="730"/>
      <c r="E313" s="352" t="s">
        <v>263</v>
      </c>
      <c r="F313" s="338"/>
      <c r="G313" s="46">
        <f t="shared" si="3"/>
        <v>5</v>
      </c>
      <c r="H313" s="658"/>
      <c r="I313" s="333">
        <v>0.2</v>
      </c>
      <c r="J313" s="338"/>
      <c r="K313" s="46">
        <f t="shared" si="2"/>
        <v>1</v>
      </c>
      <c r="L313" s="363"/>
      <c r="M313" s="766"/>
    </row>
    <row r="314" spans="2:13" ht="18" customHeight="1">
      <c r="B314" s="727"/>
      <c r="C314" s="730"/>
      <c r="D314" s="730"/>
      <c r="E314" s="352" t="s">
        <v>376</v>
      </c>
      <c r="F314" s="338"/>
      <c r="G314" s="46">
        <f t="shared" si="3"/>
        <v>5</v>
      </c>
      <c r="H314" s="658"/>
      <c r="I314" s="333">
        <v>0.2</v>
      </c>
      <c r="J314" s="338"/>
      <c r="K314" s="46">
        <f t="shared" si="2"/>
        <v>1</v>
      </c>
      <c r="L314" s="363"/>
      <c r="M314" s="766"/>
    </row>
    <row r="315" spans="2:13" ht="18" customHeight="1">
      <c r="B315" s="727"/>
      <c r="C315" s="730"/>
      <c r="D315" s="730"/>
      <c r="E315" s="352" t="s">
        <v>264</v>
      </c>
      <c r="F315" s="338"/>
      <c r="G315" s="46">
        <f t="shared" si="3"/>
        <v>5</v>
      </c>
      <c r="H315" s="658"/>
      <c r="I315" s="333">
        <v>0.2</v>
      </c>
      <c r="J315" s="338"/>
      <c r="K315" s="46">
        <f t="shared" si="2"/>
        <v>1</v>
      </c>
      <c r="L315" s="363"/>
      <c r="M315" s="766"/>
    </row>
    <row r="316" spans="2:13" ht="18" customHeight="1">
      <c r="B316" s="727"/>
      <c r="C316" s="730"/>
      <c r="D316" s="730"/>
      <c r="E316" s="352" t="s">
        <v>381</v>
      </c>
      <c r="F316" s="338"/>
      <c r="G316" s="46">
        <f t="shared" si="3"/>
        <v>5</v>
      </c>
      <c r="H316" s="658"/>
      <c r="I316" s="333">
        <v>0.2</v>
      </c>
      <c r="J316" s="338"/>
      <c r="K316" s="46">
        <f t="shared" si="2"/>
        <v>1</v>
      </c>
      <c r="L316" s="363"/>
      <c r="M316" s="766"/>
    </row>
    <row r="317" spans="2:13" ht="18" customHeight="1">
      <c r="B317" s="727"/>
      <c r="C317" s="730"/>
      <c r="D317" s="730"/>
      <c r="E317" s="352" t="s">
        <v>413</v>
      </c>
      <c r="F317" s="338"/>
      <c r="G317" s="46">
        <f t="shared" si="3"/>
        <v>5</v>
      </c>
      <c r="H317" s="658"/>
      <c r="I317" s="333">
        <v>0.2</v>
      </c>
      <c r="J317" s="338"/>
      <c r="K317" s="46">
        <f t="shared" si="2"/>
        <v>1</v>
      </c>
      <c r="L317" s="363"/>
      <c r="M317" s="766"/>
    </row>
    <row r="318" spans="2:13" ht="18" customHeight="1">
      <c r="B318" s="727"/>
      <c r="C318" s="730"/>
      <c r="D318" s="730"/>
      <c r="E318" s="352" t="s">
        <v>382</v>
      </c>
      <c r="F318" s="338"/>
      <c r="G318" s="46">
        <f t="shared" si="3"/>
        <v>5</v>
      </c>
      <c r="H318" s="658"/>
      <c r="I318" s="333">
        <v>0.2</v>
      </c>
      <c r="J318" s="338"/>
      <c r="K318" s="46">
        <f t="shared" si="2"/>
        <v>1</v>
      </c>
      <c r="L318" s="363"/>
      <c r="M318" s="766"/>
    </row>
    <row r="319" spans="2:13" ht="18" customHeight="1">
      <c r="B319" s="727"/>
      <c r="C319" s="730"/>
      <c r="D319" s="730"/>
      <c r="E319" s="352" t="s">
        <v>382</v>
      </c>
      <c r="F319" s="338"/>
      <c r="G319" s="46">
        <f t="shared" si="3"/>
        <v>5</v>
      </c>
      <c r="H319" s="658"/>
      <c r="I319" s="333">
        <v>0.2</v>
      </c>
      <c r="J319" s="338"/>
      <c r="K319" s="46">
        <f t="shared" si="2"/>
        <v>1</v>
      </c>
      <c r="L319" s="363"/>
      <c r="M319" s="766"/>
    </row>
    <row r="320" spans="2:13" ht="18" customHeight="1">
      <c r="B320" s="727"/>
      <c r="C320" s="730"/>
      <c r="D320" s="730"/>
      <c r="E320" s="352" t="s">
        <v>391</v>
      </c>
      <c r="F320" s="338"/>
      <c r="G320" s="46">
        <f t="shared" si="3"/>
        <v>5</v>
      </c>
      <c r="H320" s="658"/>
      <c r="I320" s="333">
        <v>0.2</v>
      </c>
      <c r="J320" s="338"/>
      <c r="K320" s="46">
        <f t="shared" si="2"/>
        <v>1</v>
      </c>
      <c r="L320" s="363"/>
      <c r="M320" s="766"/>
    </row>
    <row r="321" spans="2:13" ht="18" customHeight="1">
      <c r="B321" s="728"/>
      <c r="C321" s="731"/>
      <c r="D321" s="731"/>
      <c r="E321" s="344" t="s">
        <v>431</v>
      </c>
      <c r="F321" s="411"/>
      <c r="G321" s="329">
        <v>28.15</v>
      </c>
      <c r="H321" s="610"/>
      <c r="I321" s="364"/>
      <c r="J321" s="411">
        <v>0.6</v>
      </c>
      <c r="K321" s="589">
        <f>G321*J321</f>
        <v>16.889999999999997</v>
      </c>
      <c r="L321" s="364"/>
      <c r="M321" s="767"/>
    </row>
    <row r="322" spans="2:13" ht="7.5" customHeight="1" thickBot="1">
      <c r="B322" s="78"/>
      <c r="C322" s="51"/>
      <c r="D322" s="51"/>
      <c r="E322" s="78"/>
      <c r="F322" s="50"/>
      <c r="G322" s="50"/>
      <c r="H322" s="50"/>
      <c r="I322" s="50"/>
      <c r="J322" s="50"/>
      <c r="K322" s="50"/>
      <c r="L322" s="50"/>
      <c r="M322" s="50"/>
    </row>
    <row r="323" spans="2:13" ht="22.5" customHeight="1" thickBot="1">
      <c r="B323" s="212" t="str">
        <f>'Pl Orçamentária'!B123</f>
        <v>8.00</v>
      </c>
      <c r="C323" s="740" t="str">
        <f>VLOOKUP(B323,'Pl Orçamentária'!$B$17:$L$238,4,FALSE)</f>
        <v>PAVIMENTAÇÃO</v>
      </c>
      <c r="D323" s="741"/>
      <c r="E323" s="741"/>
      <c r="F323" s="203"/>
      <c r="G323" s="203"/>
      <c r="H323" s="203"/>
      <c r="I323" s="203"/>
      <c r="J323" s="203"/>
      <c r="K323" s="203"/>
      <c r="L323" s="203"/>
      <c r="M323" s="204"/>
    </row>
    <row r="324" spans="2:13" ht="7.5" customHeight="1">
      <c r="B324" s="78"/>
      <c r="C324" s="51"/>
      <c r="D324" s="51"/>
      <c r="E324" s="78"/>
      <c r="F324" s="50"/>
      <c r="G324" s="50"/>
      <c r="H324" s="50"/>
      <c r="I324" s="50"/>
      <c r="J324" s="50"/>
      <c r="K324" s="50"/>
      <c r="L324" s="50"/>
      <c r="M324" s="50"/>
    </row>
    <row r="325" spans="2:13" ht="18" customHeight="1">
      <c r="B325" s="726" t="str">
        <f>'Pl Orçamentária'!B125</f>
        <v>8.1</v>
      </c>
      <c r="C325" s="729" t="str">
        <f>VLOOKUP(B325,'Pl Orçamentária'!$B$17:$L$238,4,FALSE)</f>
        <v>Regularização  para revestimento de pisos com esp. média = 2,5cm</v>
      </c>
      <c r="D325" s="726" t="s">
        <v>33</v>
      </c>
      <c r="E325" s="242" t="s">
        <v>391</v>
      </c>
      <c r="F325" s="425"/>
      <c r="G325" s="425"/>
      <c r="H325" s="425"/>
      <c r="I325" s="425"/>
      <c r="J325" s="419"/>
      <c r="K325" s="225">
        <v>1.42</v>
      </c>
      <c r="L325" s="225"/>
      <c r="M325" s="732">
        <f>SUM(K325:K326)</f>
        <v>2.84</v>
      </c>
    </row>
    <row r="326" spans="2:13" ht="18" customHeight="1">
      <c r="B326" s="727"/>
      <c r="C326" s="730"/>
      <c r="D326" s="727"/>
      <c r="E326" s="484" t="s">
        <v>381</v>
      </c>
      <c r="F326" s="466"/>
      <c r="G326" s="466"/>
      <c r="H326" s="466"/>
      <c r="I326" s="466"/>
      <c r="J326" s="462"/>
      <c r="K326" s="333">
        <v>1.42</v>
      </c>
      <c r="L326" s="333"/>
      <c r="M326" s="733"/>
    </row>
    <row r="327" spans="2:13" ht="18" customHeight="1">
      <c r="B327" s="742" t="str">
        <f>'Pl Orçamentária'!B126</f>
        <v>8.2</v>
      </c>
      <c r="C327" s="729" t="str">
        <f>VLOOKUP(B327,'Pl Orçamentária'!$B$17:$L$238,4,FALSE)</f>
        <v>Revestimetno cerâmico para piso com pei superior a 4</v>
      </c>
      <c r="D327" s="726" t="s">
        <v>33</v>
      </c>
      <c r="E327" s="242" t="s">
        <v>391</v>
      </c>
      <c r="F327" s="425"/>
      <c r="G327" s="425"/>
      <c r="H327" s="425"/>
      <c r="I327" s="425"/>
      <c r="J327" s="664"/>
      <c r="K327" s="225">
        <v>1.42</v>
      </c>
      <c r="L327" s="262"/>
      <c r="M327" s="765">
        <f>SUM(K327:K328)</f>
        <v>2.84</v>
      </c>
    </row>
    <row r="328" spans="2:13" ht="18" customHeight="1">
      <c r="B328" s="744"/>
      <c r="C328" s="731"/>
      <c r="D328" s="728"/>
      <c r="E328" s="423" t="s">
        <v>381</v>
      </c>
      <c r="F328" s="598"/>
      <c r="G328" s="598"/>
      <c r="H328" s="598"/>
      <c r="I328" s="598"/>
      <c r="J328" s="665"/>
      <c r="K328" s="224">
        <v>1.42</v>
      </c>
      <c r="L328" s="364"/>
      <c r="M328" s="772"/>
    </row>
    <row r="329" spans="2:13" ht="7.5" customHeight="1" thickBot="1">
      <c r="B329" s="53"/>
      <c r="C329" s="52"/>
      <c r="D329" s="51"/>
      <c r="E329" s="49"/>
      <c r="F329" s="50"/>
      <c r="G329" s="50"/>
      <c r="H329" s="79"/>
      <c r="I329" s="50"/>
      <c r="J329" s="50"/>
      <c r="K329" s="79"/>
      <c r="L329" s="50"/>
      <c r="M329" s="148"/>
    </row>
    <row r="330" spans="2:13" ht="22.5" customHeight="1" thickBot="1">
      <c r="B330" s="212" t="str">
        <f>'Pl Orçamentária'!B128</f>
        <v>9.00</v>
      </c>
      <c r="C330" s="740" t="str">
        <f>VLOOKUP(B330,'Pl Orçamentária'!$B$17:$L$238,4,FALSE)</f>
        <v>PINTURA</v>
      </c>
      <c r="D330" s="741"/>
      <c r="E330" s="741"/>
      <c r="F330" s="203"/>
      <c r="G330" s="203"/>
      <c r="H330" s="203"/>
      <c r="I330" s="203"/>
      <c r="J330" s="203"/>
      <c r="K330" s="203"/>
      <c r="L330" s="203"/>
      <c r="M330" s="204"/>
    </row>
    <row r="331" spans="2:13" ht="7.5" customHeight="1">
      <c r="B331" s="78"/>
      <c r="C331" s="51"/>
      <c r="D331" s="51"/>
      <c r="E331" s="78"/>
      <c r="F331" s="50"/>
      <c r="G331" s="50"/>
      <c r="H331" s="50"/>
      <c r="I331" s="50"/>
      <c r="J331" s="50"/>
      <c r="K331" s="50"/>
      <c r="L331" s="50"/>
      <c r="M331" s="50"/>
    </row>
    <row r="332" spans="2:13" ht="18" customHeight="1">
      <c r="B332" s="773" t="str">
        <f>'Pl Orçamentária'!B130</f>
        <v>9.1</v>
      </c>
      <c r="C332" s="736" t="str">
        <f>VLOOKUP(B332,'Pl Orçamentária'!$B$17:$L$238,4,FALSE)</f>
        <v>Aplicação manual de fundo selador acrílico, uma demão</v>
      </c>
      <c r="D332" s="771" t="s">
        <v>33</v>
      </c>
      <c r="E332" s="591" t="s">
        <v>242</v>
      </c>
      <c r="F332" s="420"/>
      <c r="G332" s="328"/>
      <c r="H332" s="431"/>
      <c r="I332" s="328"/>
      <c r="J332" s="225"/>
      <c r="K332" s="328"/>
      <c r="L332" s="467"/>
      <c r="M332" s="745">
        <f>SUM(K332:K359)</f>
        <v>21.42</v>
      </c>
    </row>
    <row r="333" spans="2:13" ht="18" customHeight="1">
      <c r="B333" s="773"/>
      <c r="C333" s="736"/>
      <c r="D333" s="771"/>
      <c r="E333" s="334" t="s">
        <v>391</v>
      </c>
      <c r="F333" s="338">
        <v>1</v>
      </c>
      <c r="G333" s="46">
        <f>0.6+2*2.1</f>
        <v>4.8</v>
      </c>
      <c r="H333" s="463"/>
      <c r="I333" s="46">
        <v>0.1</v>
      </c>
      <c r="J333" s="333"/>
      <c r="K333" s="46">
        <f>F333*G333*I333</f>
        <v>0.48</v>
      </c>
      <c r="L333" s="468"/>
      <c r="M333" s="745"/>
    </row>
    <row r="334" spans="2:13" ht="18" customHeight="1">
      <c r="B334" s="773"/>
      <c r="C334" s="736"/>
      <c r="D334" s="771"/>
      <c r="E334" s="334" t="s">
        <v>381</v>
      </c>
      <c r="F334" s="338">
        <v>1</v>
      </c>
      <c r="G334" s="46">
        <f>0.6+2*2.1</f>
        <v>4.8</v>
      </c>
      <c r="H334" s="463"/>
      <c r="I334" s="46">
        <v>0.1</v>
      </c>
      <c r="J334" s="333"/>
      <c r="K334" s="46">
        <f>F334*G334*I334</f>
        <v>0.48</v>
      </c>
      <c r="L334" s="468"/>
      <c r="M334" s="745"/>
    </row>
    <row r="335" spans="2:13" ht="18" customHeight="1">
      <c r="B335" s="773"/>
      <c r="C335" s="736"/>
      <c r="D335" s="771"/>
      <c r="E335" s="334" t="s">
        <v>261</v>
      </c>
      <c r="F335" s="338">
        <v>1</v>
      </c>
      <c r="G335" s="46">
        <f>0.8+2.1*2</f>
        <v>5</v>
      </c>
      <c r="H335" s="463"/>
      <c r="I335" s="46">
        <v>0.1</v>
      </c>
      <c r="J335" s="333"/>
      <c r="K335" s="46">
        <f aca="true" t="shared" si="4" ref="K335:K357">F335*G335*I335</f>
        <v>0.5</v>
      </c>
      <c r="L335" s="468"/>
      <c r="M335" s="745"/>
    </row>
    <row r="336" spans="2:13" ht="18" customHeight="1">
      <c r="B336" s="773"/>
      <c r="C336" s="736"/>
      <c r="D336" s="771"/>
      <c r="E336" s="334" t="s">
        <v>371</v>
      </c>
      <c r="F336" s="338">
        <v>1</v>
      </c>
      <c r="G336" s="46">
        <f aca="true" t="shared" si="5" ref="G336:G356">0.8+2.1*2</f>
        <v>5</v>
      </c>
      <c r="H336" s="463"/>
      <c r="I336" s="46">
        <v>0.1</v>
      </c>
      <c r="J336" s="333"/>
      <c r="K336" s="46">
        <f t="shared" si="4"/>
        <v>0.5</v>
      </c>
      <c r="L336" s="468"/>
      <c r="M336" s="745"/>
    </row>
    <row r="337" spans="2:13" ht="18" customHeight="1">
      <c r="B337" s="773"/>
      <c r="C337" s="736"/>
      <c r="D337" s="771"/>
      <c r="E337" s="334" t="s">
        <v>372</v>
      </c>
      <c r="F337" s="338">
        <v>1</v>
      </c>
      <c r="G337" s="46">
        <f t="shared" si="5"/>
        <v>5</v>
      </c>
      <c r="H337" s="463"/>
      <c r="I337" s="46">
        <v>0.1</v>
      </c>
      <c r="J337" s="333"/>
      <c r="K337" s="46">
        <f t="shared" si="4"/>
        <v>0.5</v>
      </c>
      <c r="L337" s="468"/>
      <c r="M337" s="745"/>
    </row>
    <row r="338" spans="2:13" ht="18" customHeight="1">
      <c r="B338" s="773"/>
      <c r="C338" s="736"/>
      <c r="D338" s="771"/>
      <c r="E338" s="334" t="s">
        <v>262</v>
      </c>
      <c r="F338" s="338">
        <v>2</v>
      </c>
      <c r="G338" s="46">
        <f t="shared" si="5"/>
        <v>5</v>
      </c>
      <c r="H338" s="463"/>
      <c r="I338" s="46">
        <v>0.1</v>
      </c>
      <c r="J338" s="333"/>
      <c r="K338" s="46">
        <f t="shared" si="4"/>
        <v>1</v>
      </c>
      <c r="L338" s="468"/>
      <c r="M338" s="745"/>
    </row>
    <row r="339" spans="2:13" ht="18" customHeight="1">
      <c r="B339" s="773"/>
      <c r="C339" s="736"/>
      <c r="D339" s="771"/>
      <c r="E339" s="334" t="s">
        <v>373</v>
      </c>
      <c r="F339" s="338">
        <v>1</v>
      </c>
      <c r="G339" s="46">
        <f t="shared" si="5"/>
        <v>5</v>
      </c>
      <c r="H339" s="463"/>
      <c r="I339" s="46">
        <v>0.1</v>
      </c>
      <c r="J339" s="333"/>
      <c r="K339" s="46">
        <f t="shared" si="4"/>
        <v>0.5</v>
      </c>
      <c r="L339" s="468"/>
      <c r="M339" s="745"/>
    </row>
    <row r="340" spans="2:13" ht="18" customHeight="1">
      <c r="B340" s="773"/>
      <c r="C340" s="736"/>
      <c r="D340" s="771"/>
      <c r="E340" s="334" t="s">
        <v>374</v>
      </c>
      <c r="F340" s="338">
        <v>2</v>
      </c>
      <c r="G340" s="46">
        <f t="shared" si="5"/>
        <v>5</v>
      </c>
      <c r="H340" s="463"/>
      <c r="I340" s="46">
        <v>0.1</v>
      </c>
      <c r="J340" s="333"/>
      <c r="K340" s="46">
        <f t="shared" si="4"/>
        <v>1</v>
      </c>
      <c r="L340" s="468"/>
      <c r="M340" s="745"/>
    </row>
    <row r="341" spans="2:13" ht="18" customHeight="1">
      <c r="B341" s="773"/>
      <c r="C341" s="736"/>
      <c r="D341" s="771"/>
      <c r="E341" s="334" t="s">
        <v>375</v>
      </c>
      <c r="F341" s="338">
        <v>2</v>
      </c>
      <c r="G341" s="46">
        <f t="shared" si="5"/>
        <v>5</v>
      </c>
      <c r="H341" s="463"/>
      <c r="I341" s="46">
        <v>0.1</v>
      </c>
      <c r="J341" s="333"/>
      <c r="K341" s="46">
        <f t="shared" si="4"/>
        <v>1</v>
      </c>
      <c r="L341" s="468"/>
      <c r="M341" s="745"/>
    </row>
    <row r="342" spans="2:13" ht="18" customHeight="1">
      <c r="B342" s="773"/>
      <c r="C342" s="736"/>
      <c r="D342" s="771"/>
      <c r="E342" s="334" t="s">
        <v>263</v>
      </c>
      <c r="F342" s="338">
        <v>2</v>
      </c>
      <c r="G342" s="46">
        <f t="shared" si="5"/>
        <v>5</v>
      </c>
      <c r="H342" s="463"/>
      <c r="I342" s="46">
        <v>0.1</v>
      </c>
      <c r="J342" s="333"/>
      <c r="K342" s="46">
        <f t="shared" si="4"/>
        <v>1</v>
      </c>
      <c r="L342" s="468"/>
      <c r="M342" s="745"/>
    </row>
    <row r="343" spans="2:13" ht="18" customHeight="1">
      <c r="B343" s="773"/>
      <c r="C343" s="736"/>
      <c r="D343" s="771"/>
      <c r="E343" s="334" t="s">
        <v>376</v>
      </c>
      <c r="F343" s="338">
        <v>2</v>
      </c>
      <c r="G343" s="46">
        <f t="shared" si="5"/>
        <v>5</v>
      </c>
      <c r="H343" s="463"/>
      <c r="I343" s="46">
        <v>0.1</v>
      </c>
      <c r="J343" s="333"/>
      <c r="K343" s="46">
        <f t="shared" si="4"/>
        <v>1</v>
      </c>
      <c r="L343" s="468"/>
      <c r="M343" s="745"/>
    </row>
    <row r="344" spans="2:13" ht="18" customHeight="1">
      <c r="B344" s="773"/>
      <c r="C344" s="736"/>
      <c r="D344" s="771"/>
      <c r="E344" s="334" t="s">
        <v>264</v>
      </c>
      <c r="F344" s="338">
        <v>1</v>
      </c>
      <c r="G344" s="46">
        <f t="shared" si="5"/>
        <v>5</v>
      </c>
      <c r="H344" s="463"/>
      <c r="I344" s="46">
        <v>0.1</v>
      </c>
      <c r="J344" s="333"/>
      <c r="K344" s="46">
        <f t="shared" si="4"/>
        <v>0.5</v>
      </c>
      <c r="L344" s="468"/>
      <c r="M344" s="745"/>
    </row>
    <row r="345" spans="2:13" ht="18" customHeight="1">
      <c r="B345" s="773"/>
      <c r="C345" s="736"/>
      <c r="D345" s="771"/>
      <c r="E345" s="334" t="s">
        <v>377</v>
      </c>
      <c r="F345" s="338">
        <v>2</v>
      </c>
      <c r="G345" s="46">
        <f t="shared" si="5"/>
        <v>5</v>
      </c>
      <c r="H345" s="463"/>
      <c r="I345" s="46">
        <v>0.1</v>
      </c>
      <c r="J345" s="333"/>
      <c r="K345" s="46">
        <f t="shared" si="4"/>
        <v>1</v>
      </c>
      <c r="L345" s="468"/>
      <c r="M345" s="745"/>
    </row>
    <row r="346" spans="2:13" ht="18" customHeight="1">
      <c r="B346" s="773"/>
      <c r="C346" s="736"/>
      <c r="D346" s="771"/>
      <c r="E346" s="334" t="s">
        <v>378</v>
      </c>
      <c r="F346" s="338">
        <v>2</v>
      </c>
      <c r="G346" s="46">
        <f t="shared" si="5"/>
        <v>5</v>
      </c>
      <c r="H346" s="463"/>
      <c r="I346" s="46">
        <v>0.1</v>
      </c>
      <c r="J346" s="333"/>
      <c r="K346" s="46">
        <f t="shared" si="4"/>
        <v>1</v>
      </c>
      <c r="L346" s="468"/>
      <c r="M346" s="745"/>
    </row>
    <row r="347" spans="2:13" ht="18" customHeight="1">
      <c r="B347" s="773"/>
      <c r="C347" s="736"/>
      <c r="D347" s="771"/>
      <c r="E347" s="334" t="s">
        <v>379</v>
      </c>
      <c r="F347" s="338">
        <v>2</v>
      </c>
      <c r="G347" s="46">
        <f t="shared" si="5"/>
        <v>5</v>
      </c>
      <c r="H347" s="463"/>
      <c r="I347" s="46">
        <v>0.1</v>
      </c>
      <c r="J347" s="333"/>
      <c r="K347" s="46">
        <f t="shared" si="4"/>
        <v>1</v>
      </c>
      <c r="L347" s="468"/>
      <c r="M347" s="745"/>
    </row>
    <row r="348" spans="2:13" ht="18" customHeight="1">
      <c r="B348" s="773"/>
      <c r="C348" s="736"/>
      <c r="D348" s="771"/>
      <c r="E348" s="334" t="s">
        <v>380</v>
      </c>
      <c r="F348" s="338">
        <v>2</v>
      </c>
      <c r="G348" s="46">
        <f t="shared" si="5"/>
        <v>5</v>
      </c>
      <c r="H348" s="463"/>
      <c r="I348" s="46">
        <v>0.1</v>
      </c>
      <c r="J348" s="333"/>
      <c r="K348" s="46">
        <f t="shared" si="4"/>
        <v>1</v>
      </c>
      <c r="L348" s="468"/>
      <c r="M348" s="745"/>
    </row>
    <row r="349" spans="2:13" ht="18" customHeight="1">
      <c r="B349" s="773"/>
      <c r="C349" s="736"/>
      <c r="D349" s="771"/>
      <c r="E349" s="334" t="s">
        <v>381</v>
      </c>
      <c r="F349" s="338">
        <v>1</v>
      </c>
      <c r="G349" s="46">
        <f t="shared" si="5"/>
        <v>5</v>
      </c>
      <c r="H349" s="463"/>
      <c r="I349" s="46">
        <v>0.1</v>
      </c>
      <c r="J349" s="333"/>
      <c r="K349" s="46">
        <f t="shared" si="4"/>
        <v>0.5</v>
      </c>
      <c r="L349" s="468"/>
      <c r="M349" s="745"/>
    </row>
    <row r="350" spans="2:13" ht="18" customHeight="1">
      <c r="B350" s="773"/>
      <c r="C350" s="736"/>
      <c r="D350" s="771"/>
      <c r="E350" s="334" t="s">
        <v>382</v>
      </c>
      <c r="F350" s="338">
        <v>1</v>
      </c>
      <c r="G350" s="46">
        <f t="shared" si="5"/>
        <v>5</v>
      </c>
      <c r="H350" s="463"/>
      <c r="I350" s="46">
        <v>0.1</v>
      </c>
      <c r="J350" s="333"/>
      <c r="K350" s="46">
        <f t="shared" si="4"/>
        <v>0.5</v>
      </c>
      <c r="L350" s="468"/>
      <c r="M350" s="745"/>
    </row>
    <row r="351" spans="2:13" ht="18" customHeight="1">
      <c r="B351" s="773"/>
      <c r="C351" s="736"/>
      <c r="D351" s="771"/>
      <c r="E351" s="334" t="s">
        <v>383</v>
      </c>
      <c r="F351" s="338">
        <v>2</v>
      </c>
      <c r="G351" s="46">
        <f t="shared" si="5"/>
        <v>5</v>
      </c>
      <c r="H351" s="463"/>
      <c r="I351" s="46">
        <v>0.1</v>
      </c>
      <c r="J351" s="333"/>
      <c r="K351" s="46">
        <f t="shared" si="4"/>
        <v>1</v>
      </c>
      <c r="L351" s="468"/>
      <c r="M351" s="745"/>
    </row>
    <row r="352" spans="2:13" ht="18" customHeight="1">
      <c r="B352" s="773"/>
      <c r="C352" s="736"/>
      <c r="D352" s="771"/>
      <c r="E352" s="334" t="s">
        <v>382</v>
      </c>
      <c r="F352" s="338">
        <v>1</v>
      </c>
      <c r="G352" s="46">
        <f t="shared" si="5"/>
        <v>5</v>
      </c>
      <c r="H352" s="463"/>
      <c r="I352" s="46">
        <v>0.1</v>
      </c>
      <c r="J352" s="333"/>
      <c r="K352" s="46">
        <f t="shared" si="4"/>
        <v>0.5</v>
      </c>
      <c r="L352" s="468"/>
      <c r="M352" s="745"/>
    </row>
    <row r="353" spans="2:13" ht="18" customHeight="1">
      <c r="B353" s="773"/>
      <c r="C353" s="736"/>
      <c r="D353" s="771"/>
      <c r="E353" s="334" t="s">
        <v>382</v>
      </c>
      <c r="F353" s="338">
        <v>1</v>
      </c>
      <c r="G353" s="46">
        <f t="shared" si="5"/>
        <v>5</v>
      </c>
      <c r="H353" s="463"/>
      <c r="I353" s="46">
        <v>0.1</v>
      </c>
      <c r="J353" s="333"/>
      <c r="K353" s="46">
        <f t="shared" si="4"/>
        <v>0.5</v>
      </c>
      <c r="L353" s="468"/>
      <c r="M353" s="745"/>
    </row>
    <row r="354" spans="2:13" ht="18" customHeight="1">
      <c r="B354" s="773"/>
      <c r="C354" s="736"/>
      <c r="D354" s="771"/>
      <c r="E354" s="334" t="s">
        <v>384</v>
      </c>
      <c r="F354" s="338">
        <v>2</v>
      </c>
      <c r="G354" s="46">
        <f t="shared" si="5"/>
        <v>5</v>
      </c>
      <c r="H354" s="463"/>
      <c r="I354" s="46">
        <v>0.1</v>
      </c>
      <c r="J354" s="333"/>
      <c r="K354" s="46">
        <f t="shared" si="4"/>
        <v>1</v>
      </c>
      <c r="L354" s="468"/>
      <c r="M354" s="745"/>
    </row>
    <row r="355" spans="2:13" ht="18" customHeight="1">
      <c r="B355" s="773"/>
      <c r="C355" s="736"/>
      <c r="D355" s="771"/>
      <c r="E355" s="334" t="s">
        <v>385</v>
      </c>
      <c r="F355" s="338">
        <v>2</v>
      </c>
      <c r="G355" s="46">
        <f t="shared" si="5"/>
        <v>5</v>
      </c>
      <c r="H355" s="463"/>
      <c r="I355" s="46">
        <v>0.1</v>
      </c>
      <c r="J355" s="333"/>
      <c r="K355" s="46">
        <f t="shared" si="4"/>
        <v>1</v>
      </c>
      <c r="L355" s="468"/>
      <c r="M355" s="745"/>
    </row>
    <row r="356" spans="2:13" ht="18" customHeight="1">
      <c r="B356" s="773"/>
      <c r="C356" s="736"/>
      <c r="D356" s="771"/>
      <c r="E356" s="334" t="s">
        <v>386</v>
      </c>
      <c r="F356" s="338">
        <v>1</v>
      </c>
      <c r="G356" s="46">
        <f t="shared" si="5"/>
        <v>5</v>
      </c>
      <c r="H356" s="463"/>
      <c r="I356" s="46">
        <v>0.1</v>
      </c>
      <c r="J356" s="333"/>
      <c r="K356" s="46">
        <f t="shared" si="4"/>
        <v>0.5</v>
      </c>
      <c r="L356" s="468"/>
      <c r="M356" s="745"/>
    </row>
    <row r="357" spans="2:13" ht="18" customHeight="1">
      <c r="B357" s="773"/>
      <c r="C357" s="736"/>
      <c r="D357" s="771"/>
      <c r="E357" s="334" t="s">
        <v>88</v>
      </c>
      <c r="F357" s="338">
        <v>2</v>
      </c>
      <c r="G357" s="46">
        <f>1.2+2*2.1</f>
        <v>5.4</v>
      </c>
      <c r="H357" s="463"/>
      <c r="I357" s="46">
        <v>0.1</v>
      </c>
      <c r="J357" s="333"/>
      <c r="K357" s="46">
        <f t="shared" si="4"/>
        <v>1.08</v>
      </c>
      <c r="L357" s="468"/>
      <c r="M357" s="745"/>
    </row>
    <row r="358" spans="2:13" ht="18" customHeight="1">
      <c r="B358" s="773"/>
      <c r="C358" s="736"/>
      <c r="D358" s="771"/>
      <c r="E358" s="334" t="s">
        <v>88</v>
      </c>
      <c r="F358" s="338">
        <v>2</v>
      </c>
      <c r="G358" s="46">
        <f>1.5+2*2.1</f>
        <v>5.7</v>
      </c>
      <c r="H358" s="463"/>
      <c r="I358" s="46">
        <v>0.1</v>
      </c>
      <c r="J358" s="333"/>
      <c r="K358" s="46">
        <f>F358*G358*I358</f>
        <v>1.1400000000000001</v>
      </c>
      <c r="L358" s="468"/>
      <c r="M358" s="745"/>
    </row>
    <row r="359" spans="2:13" ht="18" customHeight="1">
      <c r="B359" s="773"/>
      <c r="C359" s="736"/>
      <c r="D359" s="771"/>
      <c r="E359" s="229" t="s">
        <v>266</v>
      </c>
      <c r="F359" s="411">
        <v>2</v>
      </c>
      <c r="G359" s="329">
        <f>2+2*2.1</f>
        <v>6.2</v>
      </c>
      <c r="H359" s="592"/>
      <c r="I359" s="329">
        <v>0.1</v>
      </c>
      <c r="J359" s="224"/>
      <c r="K359" s="329">
        <f>F359*G359*I359</f>
        <v>1.2400000000000002</v>
      </c>
      <c r="L359" s="590"/>
      <c r="M359" s="745"/>
    </row>
    <row r="360" spans="2:13" ht="18" customHeight="1">
      <c r="B360" s="726" t="str">
        <f>'Pl Orçamentária'!B131</f>
        <v>9.2</v>
      </c>
      <c r="C360" s="729" t="str">
        <f>VLOOKUP(B360,'Pl Orçamentária'!$B$17:$L$238,4,FALSE)</f>
        <v>Aplicação e lixamento de massa látex em paredes, duas demãos</v>
      </c>
      <c r="D360" s="729" t="s">
        <v>33</v>
      </c>
      <c r="E360" s="591" t="s">
        <v>242</v>
      </c>
      <c r="F360" s="420"/>
      <c r="G360" s="328"/>
      <c r="H360" s="431"/>
      <c r="I360" s="328"/>
      <c r="J360" s="225"/>
      <c r="K360" s="328"/>
      <c r="L360" s="264"/>
      <c r="M360" s="732">
        <f>SUM(K360:K387)</f>
        <v>21.42</v>
      </c>
    </row>
    <row r="361" spans="2:13" ht="18" customHeight="1">
      <c r="B361" s="727"/>
      <c r="C361" s="730"/>
      <c r="D361" s="730"/>
      <c r="E361" s="334" t="s">
        <v>391</v>
      </c>
      <c r="F361" s="338">
        <v>1</v>
      </c>
      <c r="G361" s="46">
        <f>0.6+2*2.1</f>
        <v>4.8</v>
      </c>
      <c r="H361" s="463"/>
      <c r="I361" s="46">
        <v>0.1</v>
      </c>
      <c r="J361" s="333"/>
      <c r="K361" s="46">
        <f>F361*G361*I361</f>
        <v>0.48</v>
      </c>
      <c r="L361" s="369"/>
      <c r="M361" s="733"/>
    </row>
    <row r="362" spans="2:13" ht="18" customHeight="1">
      <c r="B362" s="727"/>
      <c r="C362" s="730"/>
      <c r="D362" s="730"/>
      <c r="E362" s="334" t="s">
        <v>381</v>
      </c>
      <c r="F362" s="338">
        <v>1</v>
      </c>
      <c r="G362" s="46">
        <f>0.6+2*2.1</f>
        <v>4.8</v>
      </c>
      <c r="H362" s="463"/>
      <c r="I362" s="46">
        <v>0.1</v>
      </c>
      <c r="J362" s="333"/>
      <c r="K362" s="46">
        <f>F362*G362*I362</f>
        <v>0.48</v>
      </c>
      <c r="L362" s="369"/>
      <c r="M362" s="733"/>
    </row>
    <row r="363" spans="2:13" ht="18" customHeight="1">
      <c r="B363" s="727"/>
      <c r="C363" s="730"/>
      <c r="D363" s="730"/>
      <c r="E363" s="334" t="s">
        <v>261</v>
      </c>
      <c r="F363" s="338">
        <v>1</v>
      </c>
      <c r="G363" s="46">
        <f>0.8+2.1*2</f>
        <v>5</v>
      </c>
      <c r="H363" s="463"/>
      <c r="I363" s="46">
        <v>0.1</v>
      </c>
      <c r="J363" s="333"/>
      <c r="K363" s="46">
        <f aca="true" t="shared" si="6" ref="K363:K385">F363*G363*I363</f>
        <v>0.5</v>
      </c>
      <c r="L363" s="369"/>
      <c r="M363" s="733"/>
    </row>
    <row r="364" spans="2:13" ht="18" customHeight="1">
      <c r="B364" s="727"/>
      <c r="C364" s="730"/>
      <c r="D364" s="730"/>
      <c r="E364" s="334" t="s">
        <v>371</v>
      </c>
      <c r="F364" s="338">
        <v>1</v>
      </c>
      <c r="G364" s="46">
        <f aca="true" t="shared" si="7" ref="G364:G384">0.8+2.1*2</f>
        <v>5</v>
      </c>
      <c r="H364" s="463"/>
      <c r="I364" s="46">
        <v>0.1</v>
      </c>
      <c r="J364" s="333"/>
      <c r="K364" s="46">
        <f t="shared" si="6"/>
        <v>0.5</v>
      </c>
      <c r="L364" s="369"/>
      <c r="M364" s="733"/>
    </row>
    <row r="365" spans="2:13" ht="18" customHeight="1">
      <c r="B365" s="727"/>
      <c r="C365" s="730"/>
      <c r="D365" s="730"/>
      <c r="E365" s="334" t="s">
        <v>372</v>
      </c>
      <c r="F365" s="338">
        <v>1</v>
      </c>
      <c r="G365" s="46">
        <f t="shared" si="7"/>
        <v>5</v>
      </c>
      <c r="H365" s="463"/>
      <c r="I365" s="46">
        <v>0.1</v>
      </c>
      <c r="J365" s="333"/>
      <c r="K365" s="46">
        <f t="shared" si="6"/>
        <v>0.5</v>
      </c>
      <c r="L365" s="369"/>
      <c r="M365" s="733"/>
    </row>
    <row r="366" spans="2:13" ht="18" customHeight="1">
      <c r="B366" s="727"/>
      <c r="C366" s="730"/>
      <c r="D366" s="730"/>
      <c r="E366" s="334" t="s">
        <v>262</v>
      </c>
      <c r="F366" s="338">
        <v>2</v>
      </c>
      <c r="G366" s="46">
        <f t="shared" si="7"/>
        <v>5</v>
      </c>
      <c r="H366" s="463"/>
      <c r="I366" s="46">
        <v>0.1</v>
      </c>
      <c r="J366" s="333"/>
      <c r="K366" s="46">
        <f t="shared" si="6"/>
        <v>1</v>
      </c>
      <c r="L366" s="369"/>
      <c r="M366" s="733"/>
    </row>
    <row r="367" spans="2:13" ht="18" customHeight="1">
      <c r="B367" s="727"/>
      <c r="C367" s="730"/>
      <c r="D367" s="730"/>
      <c r="E367" s="334" t="s">
        <v>373</v>
      </c>
      <c r="F367" s="338">
        <v>1</v>
      </c>
      <c r="G367" s="46">
        <f t="shared" si="7"/>
        <v>5</v>
      </c>
      <c r="H367" s="463"/>
      <c r="I367" s="46">
        <v>0.1</v>
      </c>
      <c r="J367" s="333"/>
      <c r="K367" s="46">
        <f t="shared" si="6"/>
        <v>0.5</v>
      </c>
      <c r="L367" s="369"/>
      <c r="M367" s="733"/>
    </row>
    <row r="368" spans="2:13" ht="18" customHeight="1">
      <c r="B368" s="727"/>
      <c r="C368" s="730"/>
      <c r="D368" s="730"/>
      <c r="E368" s="334" t="s">
        <v>374</v>
      </c>
      <c r="F368" s="338">
        <v>2</v>
      </c>
      <c r="G368" s="46">
        <f t="shared" si="7"/>
        <v>5</v>
      </c>
      <c r="H368" s="463"/>
      <c r="I368" s="46">
        <v>0.1</v>
      </c>
      <c r="J368" s="333"/>
      <c r="K368" s="46">
        <f t="shared" si="6"/>
        <v>1</v>
      </c>
      <c r="L368" s="369"/>
      <c r="M368" s="733"/>
    </row>
    <row r="369" spans="2:13" ht="18" customHeight="1">
      <c r="B369" s="727"/>
      <c r="C369" s="730"/>
      <c r="D369" s="730"/>
      <c r="E369" s="334" t="s">
        <v>375</v>
      </c>
      <c r="F369" s="338">
        <v>2</v>
      </c>
      <c r="G369" s="46">
        <f t="shared" si="7"/>
        <v>5</v>
      </c>
      <c r="H369" s="463"/>
      <c r="I369" s="46">
        <v>0.1</v>
      </c>
      <c r="J369" s="333"/>
      <c r="K369" s="46">
        <f t="shared" si="6"/>
        <v>1</v>
      </c>
      <c r="L369" s="369"/>
      <c r="M369" s="733"/>
    </row>
    <row r="370" spans="2:13" ht="18" customHeight="1">
      <c r="B370" s="727"/>
      <c r="C370" s="730"/>
      <c r="D370" s="730"/>
      <c r="E370" s="334" t="s">
        <v>263</v>
      </c>
      <c r="F370" s="338">
        <v>2</v>
      </c>
      <c r="G370" s="46">
        <f t="shared" si="7"/>
        <v>5</v>
      </c>
      <c r="H370" s="463"/>
      <c r="I370" s="46">
        <v>0.1</v>
      </c>
      <c r="J370" s="333"/>
      <c r="K370" s="46">
        <f t="shared" si="6"/>
        <v>1</v>
      </c>
      <c r="L370" s="369"/>
      <c r="M370" s="733"/>
    </row>
    <row r="371" spans="2:13" ht="18" customHeight="1">
      <c r="B371" s="727"/>
      <c r="C371" s="730"/>
      <c r="D371" s="730"/>
      <c r="E371" s="334" t="s">
        <v>376</v>
      </c>
      <c r="F371" s="338">
        <v>2</v>
      </c>
      <c r="G371" s="46">
        <f t="shared" si="7"/>
        <v>5</v>
      </c>
      <c r="H371" s="463"/>
      <c r="I371" s="46">
        <v>0.1</v>
      </c>
      <c r="J371" s="333"/>
      <c r="K371" s="46">
        <f t="shared" si="6"/>
        <v>1</v>
      </c>
      <c r="L371" s="369"/>
      <c r="M371" s="733"/>
    </row>
    <row r="372" spans="2:13" ht="18" customHeight="1">
      <c r="B372" s="727"/>
      <c r="C372" s="730"/>
      <c r="D372" s="730"/>
      <c r="E372" s="334" t="s">
        <v>264</v>
      </c>
      <c r="F372" s="338">
        <v>1</v>
      </c>
      <c r="G372" s="46">
        <f t="shared" si="7"/>
        <v>5</v>
      </c>
      <c r="H372" s="463"/>
      <c r="I372" s="46">
        <v>0.1</v>
      </c>
      <c r="J372" s="333"/>
      <c r="K372" s="46">
        <f t="shared" si="6"/>
        <v>0.5</v>
      </c>
      <c r="L372" s="369"/>
      <c r="M372" s="733"/>
    </row>
    <row r="373" spans="2:13" ht="18" customHeight="1">
      <c r="B373" s="727"/>
      <c r="C373" s="730"/>
      <c r="D373" s="730"/>
      <c r="E373" s="334" t="s">
        <v>377</v>
      </c>
      <c r="F373" s="338">
        <v>2</v>
      </c>
      <c r="G373" s="46">
        <f t="shared" si="7"/>
        <v>5</v>
      </c>
      <c r="H373" s="463"/>
      <c r="I373" s="46">
        <v>0.1</v>
      </c>
      <c r="J373" s="333"/>
      <c r="K373" s="46">
        <f t="shared" si="6"/>
        <v>1</v>
      </c>
      <c r="L373" s="369"/>
      <c r="M373" s="733"/>
    </row>
    <row r="374" spans="2:13" ht="18" customHeight="1">
      <c r="B374" s="727"/>
      <c r="C374" s="730"/>
      <c r="D374" s="730"/>
      <c r="E374" s="334" t="s">
        <v>378</v>
      </c>
      <c r="F374" s="338">
        <v>2</v>
      </c>
      <c r="G374" s="46">
        <f t="shared" si="7"/>
        <v>5</v>
      </c>
      <c r="H374" s="463"/>
      <c r="I374" s="46">
        <v>0.1</v>
      </c>
      <c r="J374" s="333"/>
      <c r="K374" s="46">
        <f t="shared" si="6"/>
        <v>1</v>
      </c>
      <c r="L374" s="369"/>
      <c r="M374" s="733"/>
    </row>
    <row r="375" spans="2:13" ht="18" customHeight="1">
      <c r="B375" s="727"/>
      <c r="C375" s="730"/>
      <c r="D375" s="730"/>
      <c r="E375" s="334" t="s">
        <v>379</v>
      </c>
      <c r="F375" s="338">
        <v>2</v>
      </c>
      <c r="G375" s="46">
        <f t="shared" si="7"/>
        <v>5</v>
      </c>
      <c r="H375" s="463"/>
      <c r="I375" s="46">
        <v>0.1</v>
      </c>
      <c r="J375" s="333"/>
      <c r="K375" s="46">
        <f t="shared" si="6"/>
        <v>1</v>
      </c>
      <c r="L375" s="369"/>
      <c r="M375" s="733"/>
    </row>
    <row r="376" spans="2:13" ht="18" customHeight="1">
      <c r="B376" s="727"/>
      <c r="C376" s="730"/>
      <c r="D376" s="730"/>
      <c r="E376" s="334" t="s">
        <v>380</v>
      </c>
      <c r="F376" s="338">
        <v>2</v>
      </c>
      <c r="G376" s="46">
        <f t="shared" si="7"/>
        <v>5</v>
      </c>
      <c r="H376" s="463"/>
      <c r="I376" s="46">
        <v>0.1</v>
      </c>
      <c r="J376" s="333"/>
      <c r="K376" s="46">
        <f t="shared" si="6"/>
        <v>1</v>
      </c>
      <c r="L376" s="369"/>
      <c r="M376" s="733"/>
    </row>
    <row r="377" spans="2:13" ht="18" customHeight="1">
      <c r="B377" s="727"/>
      <c r="C377" s="730"/>
      <c r="D377" s="730"/>
      <c r="E377" s="334" t="s">
        <v>381</v>
      </c>
      <c r="F377" s="338">
        <v>1</v>
      </c>
      <c r="G377" s="46">
        <f t="shared" si="7"/>
        <v>5</v>
      </c>
      <c r="H377" s="463"/>
      <c r="I377" s="46">
        <v>0.1</v>
      </c>
      <c r="J377" s="333"/>
      <c r="K377" s="46">
        <f t="shared" si="6"/>
        <v>0.5</v>
      </c>
      <c r="L377" s="369"/>
      <c r="M377" s="733"/>
    </row>
    <row r="378" spans="2:13" ht="18" customHeight="1">
      <c r="B378" s="727"/>
      <c r="C378" s="730"/>
      <c r="D378" s="730"/>
      <c r="E378" s="334" t="s">
        <v>382</v>
      </c>
      <c r="F378" s="338">
        <v>1</v>
      </c>
      <c r="G378" s="46">
        <f t="shared" si="7"/>
        <v>5</v>
      </c>
      <c r="H378" s="463"/>
      <c r="I378" s="46">
        <v>0.1</v>
      </c>
      <c r="J378" s="333"/>
      <c r="K378" s="46">
        <f t="shared" si="6"/>
        <v>0.5</v>
      </c>
      <c r="L378" s="369"/>
      <c r="M378" s="733"/>
    </row>
    <row r="379" spans="2:13" ht="18" customHeight="1">
      <c r="B379" s="727"/>
      <c r="C379" s="730"/>
      <c r="D379" s="730"/>
      <c r="E379" s="334" t="s">
        <v>383</v>
      </c>
      <c r="F379" s="338">
        <v>2</v>
      </c>
      <c r="G379" s="46">
        <f t="shared" si="7"/>
        <v>5</v>
      </c>
      <c r="H379" s="463"/>
      <c r="I379" s="46">
        <v>0.1</v>
      </c>
      <c r="J379" s="333"/>
      <c r="K379" s="46">
        <f t="shared" si="6"/>
        <v>1</v>
      </c>
      <c r="L379" s="369"/>
      <c r="M379" s="733"/>
    </row>
    <row r="380" spans="2:13" ht="18" customHeight="1">
      <c r="B380" s="727"/>
      <c r="C380" s="730"/>
      <c r="D380" s="730"/>
      <c r="E380" s="334" t="s">
        <v>382</v>
      </c>
      <c r="F380" s="338">
        <v>1</v>
      </c>
      <c r="G380" s="46">
        <f t="shared" si="7"/>
        <v>5</v>
      </c>
      <c r="H380" s="463"/>
      <c r="I380" s="46">
        <v>0.1</v>
      </c>
      <c r="J380" s="333"/>
      <c r="K380" s="46">
        <f t="shared" si="6"/>
        <v>0.5</v>
      </c>
      <c r="L380" s="369"/>
      <c r="M380" s="733"/>
    </row>
    <row r="381" spans="2:13" ht="18" customHeight="1">
      <c r="B381" s="727"/>
      <c r="C381" s="730"/>
      <c r="D381" s="730"/>
      <c r="E381" s="334" t="s">
        <v>382</v>
      </c>
      <c r="F381" s="338">
        <v>1</v>
      </c>
      <c r="G381" s="46">
        <f t="shared" si="7"/>
        <v>5</v>
      </c>
      <c r="H381" s="463"/>
      <c r="I381" s="46">
        <v>0.1</v>
      </c>
      <c r="J381" s="333"/>
      <c r="K381" s="46">
        <f t="shared" si="6"/>
        <v>0.5</v>
      </c>
      <c r="L381" s="369"/>
      <c r="M381" s="733"/>
    </row>
    <row r="382" spans="2:13" ht="18" customHeight="1">
      <c r="B382" s="727"/>
      <c r="C382" s="730"/>
      <c r="D382" s="730"/>
      <c r="E382" s="334" t="s">
        <v>384</v>
      </c>
      <c r="F382" s="338">
        <v>2</v>
      </c>
      <c r="G382" s="46">
        <f t="shared" si="7"/>
        <v>5</v>
      </c>
      <c r="H382" s="463"/>
      <c r="I382" s="46">
        <v>0.1</v>
      </c>
      <c r="J382" s="333"/>
      <c r="K382" s="46">
        <f t="shared" si="6"/>
        <v>1</v>
      </c>
      <c r="L382" s="369"/>
      <c r="M382" s="733"/>
    </row>
    <row r="383" spans="2:13" ht="18" customHeight="1">
      <c r="B383" s="727"/>
      <c r="C383" s="730"/>
      <c r="D383" s="730"/>
      <c r="E383" s="334" t="s">
        <v>385</v>
      </c>
      <c r="F383" s="338">
        <v>2</v>
      </c>
      <c r="G383" s="46">
        <f t="shared" si="7"/>
        <v>5</v>
      </c>
      <c r="H383" s="463"/>
      <c r="I383" s="46">
        <v>0.1</v>
      </c>
      <c r="J383" s="333"/>
      <c r="K383" s="46">
        <f t="shared" si="6"/>
        <v>1</v>
      </c>
      <c r="L383" s="369"/>
      <c r="M383" s="733"/>
    </row>
    <row r="384" spans="2:13" ht="18" customHeight="1">
      <c r="B384" s="727"/>
      <c r="C384" s="730"/>
      <c r="D384" s="730"/>
      <c r="E384" s="334" t="s">
        <v>386</v>
      </c>
      <c r="F384" s="338">
        <v>1</v>
      </c>
      <c r="G384" s="46">
        <f t="shared" si="7"/>
        <v>5</v>
      </c>
      <c r="H384" s="463"/>
      <c r="I384" s="46">
        <v>0.1</v>
      </c>
      <c r="J384" s="333"/>
      <c r="K384" s="46">
        <f t="shared" si="6"/>
        <v>0.5</v>
      </c>
      <c r="L384" s="369"/>
      <c r="M384" s="733"/>
    </row>
    <row r="385" spans="2:13" ht="18" customHeight="1">
      <c r="B385" s="727"/>
      <c r="C385" s="730"/>
      <c r="D385" s="730"/>
      <c r="E385" s="334" t="s">
        <v>88</v>
      </c>
      <c r="F385" s="338">
        <v>2</v>
      </c>
      <c r="G385" s="46">
        <f>1.2+2*2.1</f>
        <v>5.4</v>
      </c>
      <c r="H385" s="463"/>
      <c r="I385" s="46">
        <v>0.1</v>
      </c>
      <c r="J385" s="333"/>
      <c r="K385" s="46">
        <f t="shared" si="6"/>
        <v>1.08</v>
      </c>
      <c r="L385" s="369"/>
      <c r="M385" s="733"/>
    </row>
    <row r="386" spans="2:13" ht="18" customHeight="1">
      <c r="B386" s="727"/>
      <c r="C386" s="730"/>
      <c r="D386" s="730"/>
      <c r="E386" s="334" t="s">
        <v>88</v>
      </c>
      <c r="F386" s="338">
        <v>2</v>
      </c>
      <c r="G386" s="46">
        <f>1.5+2*2.1</f>
        <v>5.7</v>
      </c>
      <c r="H386" s="463"/>
      <c r="I386" s="46">
        <v>0.1</v>
      </c>
      <c r="J386" s="333"/>
      <c r="K386" s="46">
        <f>F386*G386*I386</f>
        <v>1.1400000000000001</v>
      </c>
      <c r="L386" s="369"/>
      <c r="M386" s="733"/>
    </row>
    <row r="387" spans="2:13" ht="18" customHeight="1">
      <c r="B387" s="727"/>
      <c r="C387" s="730"/>
      <c r="D387" s="730"/>
      <c r="E387" s="229" t="s">
        <v>266</v>
      </c>
      <c r="F387" s="411">
        <v>2</v>
      </c>
      <c r="G387" s="329">
        <f>2+2*2.1</f>
        <v>6.2</v>
      </c>
      <c r="H387" s="592"/>
      <c r="I387" s="329">
        <v>0.1</v>
      </c>
      <c r="J387" s="224"/>
      <c r="K387" s="329">
        <f>F387*G387*I387</f>
        <v>1.2400000000000002</v>
      </c>
      <c r="L387" s="369"/>
      <c r="M387" s="733"/>
    </row>
    <row r="388" spans="2:13" ht="18" customHeight="1">
      <c r="B388" s="735" t="str">
        <f>'Pl Orçamentária'!B132</f>
        <v>9.3</v>
      </c>
      <c r="C388" s="736" t="str">
        <f>VLOOKUP(B388,'Pl Orçamentária'!$B$17:$L$238,4,FALSE)</f>
        <v>Aplicação manual de pintura tinta acrílica, em paredes, duas demãos</v>
      </c>
      <c r="D388" s="771" t="s">
        <v>33</v>
      </c>
      <c r="E388" s="377" t="s">
        <v>242</v>
      </c>
      <c r="F388" s="420"/>
      <c r="G388" s="328"/>
      <c r="H388" s="431"/>
      <c r="I388" s="328"/>
      <c r="J388" s="225"/>
      <c r="K388" s="328"/>
      <c r="L388" s="264"/>
      <c r="M388" s="745">
        <f>SUM(K388:K402)</f>
        <v>620.5969999999999</v>
      </c>
    </row>
    <row r="389" spans="2:13" ht="18" customHeight="1">
      <c r="B389" s="735"/>
      <c r="C389" s="736"/>
      <c r="D389" s="771"/>
      <c r="E389" s="352" t="s">
        <v>262</v>
      </c>
      <c r="F389" s="338"/>
      <c r="G389" s="46">
        <v>16</v>
      </c>
      <c r="H389" s="463"/>
      <c r="I389" s="464"/>
      <c r="J389" s="333">
        <v>2.8</v>
      </c>
      <c r="K389" s="333">
        <f>G389*J389</f>
        <v>44.8</v>
      </c>
      <c r="L389" s="369"/>
      <c r="M389" s="745"/>
    </row>
    <row r="390" spans="2:13" ht="18" customHeight="1">
      <c r="B390" s="735"/>
      <c r="C390" s="736"/>
      <c r="D390" s="771"/>
      <c r="E390" s="352" t="s">
        <v>440</v>
      </c>
      <c r="F390" s="338"/>
      <c r="G390" s="46">
        <v>37.09</v>
      </c>
      <c r="H390" s="463"/>
      <c r="I390" s="464"/>
      <c r="J390" s="333">
        <v>2.8</v>
      </c>
      <c r="K390" s="333">
        <f>G390*J390</f>
        <v>103.852</v>
      </c>
      <c r="L390" s="369"/>
      <c r="M390" s="745"/>
    </row>
    <row r="391" spans="2:13" ht="18" customHeight="1">
      <c r="B391" s="735"/>
      <c r="C391" s="736"/>
      <c r="D391" s="771"/>
      <c r="E391" s="352" t="s">
        <v>374</v>
      </c>
      <c r="F391" s="338"/>
      <c r="G391" s="46">
        <v>14.8</v>
      </c>
      <c r="H391" s="463"/>
      <c r="I391" s="464"/>
      <c r="J391" s="333">
        <v>2.8</v>
      </c>
      <c r="K391" s="333">
        <f>G391*J391</f>
        <v>41.44</v>
      </c>
      <c r="L391" s="369"/>
      <c r="M391" s="745"/>
    </row>
    <row r="392" spans="2:13" ht="18" customHeight="1">
      <c r="B392" s="735"/>
      <c r="C392" s="736"/>
      <c r="D392" s="771"/>
      <c r="E392" s="352" t="s">
        <v>375</v>
      </c>
      <c r="F392" s="338"/>
      <c r="G392" s="46">
        <v>12</v>
      </c>
      <c r="H392" s="463"/>
      <c r="I392" s="464"/>
      <c r="J392" s="333">
        <v>2.8</v>
      </c>
      <c r="K392" s="333">
        <f aca="true" t="shared" si="8" ref="K392:K401">G392*J392</f>
        <v>33.599999999999994</v>
      </c>
      <c r="L392" s="369"/>
      <c r="M392" s="745"/>
    </row>
    <row r="393" spans="2:13" ht="18" customHeight="1">
      <c r="B393" s="735"/>
      <c r="C393" s="736"/>
      <c r="D393" s="771"/>
      <c r="E393" s="352" t="s">
        <v>377</v>
      </c>
      <c r="F393" s="338"/>
      <c r="G393" s="46">
        <v>13.1</v>
      </c>
      <c r="H393" s="369"/>
      <c r="I393" s="47"/>
      <c r="J393" s="333">
        <v>2.8</v>
      </c>
      <c r="K393" s="333">
        <f t="shared" si="8"/>
        <v>36.68</v>
      </c>
      <c r="L393" s="369"/>
      <c r="M393" s="745"/>
    </row>
    <row r="394" spans="2:13" ht="18" customHeight="1">
      <c r="B394" s="735"/>
      <c r="C394" s="736"/>
      <c r="D394" s="771"/>
      <c r="E394" s="352" t="s">
        <v>378</v>
      </c>
      <c r="F394" s="338"/>
      <c r="G394" s="46">
        <v>13.6</v>
      </c>
      <c r="H394" s="369"/>
      <c r="I394" s="47"/>
      <c r="J394" s="333">
        <v>2.8</v>
      </c>
      <c r="K394" s="333">
        <f t="shared" si="8"/>
        <v>38.08</v>
      </c>
      <c r="L394" s="369"/>
      <c r="M394" s="745"/>
    </row>
    <row r="395" spans="2:13" ht="18" customHeight="1">
      <c r="B395" s="735"/>
      <c r="C395" s="736"/>
      <c r="D395" s="771"/>
      <c r="E395" s="352" t="s">
        <v>379</v>
      </c>
      <c r="F395" s="338"/>
      <c r="G395" s="46">
        <v>8.8</v>
      </c>
      <c r="H395" s="369"/>
      <c r="I395" s="47"/>
      <c r="J395" s="333">
        <v>2.8</v>
      </c>
      <c r="K395" s="333">
        <f t="shared" si="8"/>
        <v>24.64</v>
      </c>
      <c r="L395" s="369"/>
      <c r="M395" s="745"/>
    </row>
    <row r="396" spans="2:13" ht="18" customHeight="1">
      <c r="B396" s="735"/>
      <c r="C396" s="736"/>
      <c r="D396" s="771"/>
      <c r="E396" s="352" t="s">
        <v>430</v>
      </c>
      <c r="F396" s="338"/>
      <c r="G396" s="46">
        <v>9.7</v>
      </c>
      <c r="H396" s="369"/>
      <c r="I396" s="47"/>
      <c r="J396" s="333">
        <v>2.8</v>
      </c>
      <c r="K396" s="333">
        <f t="shared" si="8"/>
        <v>27.159999999999997</v>
      </c>
      <c r="L396" s="369"/>
      <c r="M396" s="745"/>
    </row>
    <row r="397" spans="2:13" ht="18" customHeight="1">
      <c r="B397" s="735"/>
      <c r="C397" s="736"/>
      <c r="D397" s="771"/>
      <c r="E397" s="352" t="s">
        <v>430</v>
      </c>
      <c r="F397" s="338"/>
      <c r="G397" s="46">
        <v>6.54</v>
      </c>
      <c r="H397" s="369"/>
      <c r="I397" s="47"/>
      <c r="J397" s="333">
        <v>0.75</v>
      </c>
      <c r="K397" s="333">
        <f t="shared" si="8"/>
        <v>4.905</v>
      </c>
      <c r="L397" s="369"/>
      <c r="M397" s="745"/>
    </row>
    <row r="398" spans="2:13" ht="18" customHeight="1">
      <c r="B398" s="735"/>
      <c r="C398" s="736"/>
      <c r="D398" s="771"/>
      <c r="E398" s="352" t="s">
        <v>88</v>
      </c>
      <c r="F398" s="338"/>
      <c r="G398" s="46">
        <v>36.7</v>
      </c>
      <c r="H398" s="369"/>
      <c r="I398" s="47"/>
      <c r="J398" s="333">
        <v>2.8</v>
      </c>
      <c r="K398" s="333">
        <f t="shared" si="8"/>
        <v>102.76</v>
      </c>
      <c r="L398" s="369"/>
      <c r="M398" s="745"/>
    </row>
    <row r="399" spans="2:13" ht="18" customHeight="1">
      <c r="B399" s="735"/>
      <c r="C399" s="736"/>
      <c r="D399" s="771"/>
      <c r="E399" s="352" t="s">
        <v>441</v>
      </c>
      <c r="F399" s="338"/>
      <c r="G399" s="46">
        <v>17.4</v>
      </c>
      <c r="H399" s="463"/>
      <c r="I399" s="464"/>
      <c r="J399" s="333">
        <v>2.8</v>
      </c>
      <c r="K399" s="333">
        <f t="shared" si="8"/>
        <v>48.71999999999999</v>
      </c>
      <c r="L399" s="369"/>
      <c r="M399" s="745"/>
    </row>
    <row r="400" spans="2:13" ht="18" customHeight="1">
      <c r="B400" s="735"/>
      <c r="C400" s="736"/>
      <c r="D400" s="771"/>
      <c r="E400" s="352" t="s">
        <v>383</v>
      </c>
      <c r="F400" s="338"/>
      <c r="G400" s="46">
        <v>14.3</v>
      </c>
      <c r="H400" s="369"/>
      <c r="I400" s="47"/>
      <c r="J400" s="333">
        <v>2.8</v>
      </c>
      <c r="K400" s="333">
        <f t="shared" si="8"/>
        <v>40.04</v>
      </c>
      <c r="L400" s="369"/>
      <c r="M400" s="745"/>
    </row>
    <row r="401" spans="2:13" ht="18" customHeight="1">
      <c r="B401" s="735"/>
      <c r="C401" s="736"/>
      <c r="D401" s="771"/>
      <c r="E401" s="352" t="s">
        <v>384</v>
      </c>
      <c r="F401" s="338"/>
      <c r="G401" s="46">
        <v>13.4</v>
      </c>
      <c r="H401" s="369"/>
      <c r="I401" s="47"/>
      <c r="J401" s="333">
        <v>2.8</v>
      </c>
      <c r="K401" s="333">
        <f t="shared" si="8"/>
        <v>37.519999999999996</v>
      </c>
      <c r="L401" s="369"/>
      <c r="M401" s="745"/>
    </row>
    <row r="402" spans="2:13" ht="18" customHeight="1">
      <c r="B402" s="735"/>
      <c r="C402" s="736"/>
      <c r="D402" s="771"/>
      <c r="E402" s="352" t="s">
        <v>415</v>
      </c>
      <c r="F402" s="338"/>
      <c r="G402" s="46">
        <v>13</v>
      </c>
      <c r="H402" s="463"/>
      <c r="I402" s="464"/>
      <c r="J402" s="333">
        <v>2.8</v>
      </c>
      <c r="K402" s="333">
        <f>G402*J402</f>
        <v>36.4</v>
      </c>
      <c r="L402" s="369"/>
      <c r="M402" s="745"/>
    </row>
    <row r="403" spans="2:13" ht="18">
      <c r="B403" s="553" t="str">
        <f>'Pl Orçamentária'!B133</f>
        <v>9.4</v>
      </c>
      <c r="C403" s="550" t="str">
        <f>VLOOKUP(B403,'Pl Orçamentária'!$B$17:$L$238,4,FALSE)</f>
        <v>Pintura epoxi três demões</v>
      </c>
      <c r="D403" s="553" t="s">
        <v>33</v>
      </c>
      <c r="E403" s="214" t="s">
        <v>266</v>
      </c>
      <c r="F403" s="527"/>
      <c r="G403" s="261">
        <v>20.9</v>
      </c>
      <c r="H403" s="595"/>
      <c r="I403" s="596"/>
      <c r="J403" s="359">
        <v>2.8</v>
      </c>
      <c r="K403" s="359">
        <f>G403*J403</f>
        <v>58.51999999999999</v>
      </c>
      <c r="L403" s="264"/>
      <c r="M403" s="546">
        <f>SUM(K403)</f>
        <v>58.51999999999999</v>
      </c>
    </row>
    <row r="404" spans="2:13" ht="18" customHeight="1">
      <c r="B404" s="726" t="str">
        <f>'Pl Orçamentária'!B134</f>
        <v>9.5</v>
      </c>
      <c r="C404" s="729" t="str">
        <f>VLOOKUP(B404,'Pl Orçamentária'!$B$17:$L$238,4,FALSE)</f>
        <v>Aplicação manual de pintura com tinta texturizada acrílica em paredes externas</v>
      </c>
      <c r="D404" s="726" t="s">
        <v>33</v>
      </c>
      <c r="E404" s="467" t="s">
        <v>243</v>
      </c>
      <c r="F404" s="420"/>
      <c r="G404" s="328"/>
      <c r="H404" s="264"/>
      <c r="I404" s="330"/>
      <c r="J404" s="225"/>
      <c r="K404" s="225"/>
      <c r="L404" s="375"/>
      <c r="M404" s="732">
        <f>SUM(K404:K414)</f>
        <v>391.6745</v>
      </c>
    </row>
    <row r="405" spans="2:13" ht="18" customHeight="1">
      <c r="B405" s="727"/>
      <c r="C405" s="730"/>
      <c r="D405" s="727"/>
      <c r="E405" s="468" t="s">
        <v>147</v>
      </c>
      <c r="F405" s="338"/>
      <c r="G405" s="46"/>
      <c r="H405" s="369"/>
      <c r="I405" s="47"/>
      <c r="J405" s="333"/>
      <c r="K405" s="333"/>
      <c r="L405" s="376"/>
      <c r="M405" s="733"/>
    </row>
    <row r="406" spans="2:13" ht="18" customHeight="1">
      <c r="B406" s="727"/>
      <c r="C406" s="730"/>
      <c r="D406" s="727"/>
      <c r="E406" s="339" t="s">
        <v>432</v>
      </c>
      <c r="F406" s="353"/>
      <c r="G406" s="367"/>
      <c r="H406" s="369">
        <v>7.8</v>
      </c>
      <c r="I406" s="353"/>
      <c r="J406" s="367">
        <v>4.56</v>
      </c>
      <c r="K406" s="369">
        <f>H406*J406-1.49-2.9</f>
        <v>31.177999999999997</v>
      </c>
      <c r="L406" s="376"/>
      <c r="M406" s="733"/>
    </row>
    <row r="407" spans="2:13" ht="18" customHeight="1">
      <c r="B407" s="727"/>
      <c r="C407" s="730"/>
      <c r="D407" s="727"/>
      <c r="E407" s="339" t="s">
        <v>433</v>
      </c>
      <c r="F407" s="353"/>
      <c r="G407" s="367"/>
      <c r="H407" s="369">
        <v>20.5</v>
      </c>
      <c r="I407" s="353"/>
      <c r="J407" s="367">
        <v>3.66</v>
      </c>
      <c r="K407" s="369">
        <f>H407*J407</f>
        <v>75.03</v>
      </c>
      <c r="L407" s="376"/>
      <c r="M407" s="733"/>
    </row>
    <row r="408" spans="2:13" ht="18" customHeight="1">
      <c r="B408" s="727"/>
      <c r="C408" s="730"/>
      <c r="D408" s="727"/>
      <c r="E408" s="339" t="s">
        <v>434</v>
      </c>
      <c r="F408" s="353"/>
      <c r="G408" s="367"/>
      <c r="H408" s="369">
        <v>9.8</v>
      </c>
      <c r="I408" s="353"/>
      <c r="J408" s="367">
        <v>5.4</v>
      </c>
      <c r="K408" s="369">
        <f>21.74+34.09</f>
        <v>55.83</v>
      </c>
      <c r="L408" s="376"/>
      <c r="M408" s="733"/>
    </row>
    <row r="409" spans="2:13" ht="18" customHeight="1">
      <c r="B409" s="727"/>
      <c r="C409" s="730"/>
      <c r="D409" s="727"/>
      <c r="E409" s="339" t="s">
        <v>435</v>
      </c>
      <c r="F409" s="353"/>
      <c r="G409" s="367"/>
      <c r="H409" s="369">
        <v>20.5</v>
      </c>
      <c r="I409" s="353"/>
      <c r="J409" s="367">
        <v>3.05</v>
      </c>
      <c r="K409" s="369">
        <f>H409*J409</f>
        <v>62.525</v>
      </c>
      <c r="L409" s="376"/>
      <c r="M409" s="733"/>
    </row>
    <row r="410" spans="2:13" ht="18" customHeight="1">
      <c r="B410" s="727"/>
      <c r="C410" s="730"/>
      <c r="D410" s="727"/>
      <c r="E410" s="465" t="s">
        <v>148</v>
      </c>
      <c r="F410" s="353"/>
      <c r="G410" s="367"/>
      <c r="H410" s="369"/>
      <c r="I410" s="353"/>
      <c r="J410" s="367"/>
      <c r="K410" s="369"/>
      <c r="L410" s="376"/>
      <c r="M410" s="733"/>
    </row>
    <row r="411" spans="2:13" ht="18" customHeight="1">
      <c r="B411" s="727"/>
      <c r="C411" s="730"/>
      <c r="D411" s="727"/>
      <c r="E411" s="339" t="s">
        <v>235</v>
      </c>
      <c r="F411" s="353"/>
      <c r="G411" s="367"/>
      <c r="H411" s="369">
        <v>8.6</v>
      </c>
      <c r="I411" s="353"/>
      <c r="J411" s="367">
        <v>4.56</v>
      </c>
      <c r="K411" s="369">
        <f>H411*J411-1.49-4</f>
        <v>33.72599999999999</v>
      </c>
      <c r="L411" s="376"/>
      <c r="M411" s="733"/>
    </row>
    <row r="412" spans="2:13" ht="18" customHeight="1">
      <c r="B412" s="727"/>
      <c r="C412" s="730"/>
      <c r="D412" s="727"/>
      <c r="E412" s="339" t="s">
        <v>236</v>
      </c>
      <c r="F412" s="353"/>
      <c r="G412" s="367"/>
      <c r="H412" s="369">
        <v>8.75</v>
      </c>
      <c r="I412" s="353"/>
      <c r="J412" s="367">
        <v>5.4</v>
      </c>
      <c r="K412" s="369">
        <f>20.49+29.23</f>
        <v>49.72</v>
      </c>
      <c r="L412" s="376"/>
      <c r="M412" s="733"/>
    </row>
    <row r="413" spans="2:13" ht="18" customHeight="1">
      <c r="B413" s="727"/>
      <c r="C413" s="730"/>
      <c r="D413" s="727"/>
      <c r="E413" s="339" t="s">
        <v>436</v>
      </c>
      <c r="F413" s="353"/>
      <c r="G413" s="367"/>
      <c r="H413" s="369">
        <v>11.2</v>
      </c>
      <c r="I413" s="353"/>
      <c r="J413" s="367">
        <v>3.66</v>
      </c>
      <c r="K413" s="369">
        <f>H413*J413</f>
        <v>40.992</v>
      </c>
      <c r="L413" s="376"/>
      <c r="M413" s="733"/>
    </row>
    <row r="414" spans="2:13" ht="18" customHeight="1">
      <c r="B414" s="727"/>
      <c r="C414" s="730"/>
      <c r="D414" s="727"/>
      <c r="E414" s="339" t="s">
        <v>437</v>
      </c>
      <c r="F414" s="353"/>
      <c r="G414" s="46"/>
      <c r="H414" s="369">
        <v>13.05</v>
      </c>
      <c r="I414" s="353"/>
      <c r="J414" s="46">
        <v>3.27</v>
      </c>
      <c r="K414" s="369">
        <f>H414*J414</f>
        <v>42.673500000000004</v>
      </c>
      <c r="L414" s="376"/>
      <c r="M414" s="733"/>
    </row>
    <row r="415" spans="2:13" ht="18" customHeight="1">
      <c r="B415" s="735" t="str">
        <f>'Pl Orçamentária'!B135</f>
        <v>9.6</v>
      </c>
      <c r="C415" s="736" t="str">
        <f>VLOOKUP(B415,'Pl Orçamentária'!$B$17:$L$238,4,FALSE)</f>
        <v>Aplicação e lixamento de massa  em teto, duas demãos</v>
      </c>
      <c r="D415" s="735" t="s">
        <v>33</v>
      </c>
      <c r="E415" s="343" t="s">
        <v>261</v>
      </c>
      <c r="F415" s="425"/>
      <c r="G415" s="425"/>
      <c r="H415" s="425"/>
      <c r="I415" s="425"/>
      <c r="J415" s="553"/>
      <c r="K415" s="225">
        <v>6.6</v>
      </c>
      <c r="L415" s="375"/>
      <c r="M415" s="745">
        <f>SUM(K415:K444)</f>
        <v>268.57</v>
      </c>
    </row>
    <row r="416" spans="2:13" ht="18" customHeight="1">
      <c r="B416" s="735"/>
      <c r="C416" s="736"/>
      <c r="D416" s="735"/>
      <c r="E416" s="352" t="s">
        <v>423</v>
      </c>
      <c r="F416" s="466"/>
      <c r="G416" s="466"/>
      <c r="H416" s="466"/>
      <c r="I416" s="466"/>
      <c r="J416" s="554"/>
      <c r="K416" s="333">
        <v>5.1</v>
      </c>
      <c r="L416" s="376"/>
      <c r="M416" s="745"/>
    </row>
    <row r="417" spans="2:13" ht="18" customHeight="1">
      <c r="B417" s="735"/>
      <c r="C417" s="736"/>
      <c r="D417" s="735"/>
      <c r="E417" s="352" t="s">
        <v>410</v>
      </c>
      <c r="F417" s="466"/>
      <c r="G417" s="466"/>
      <c r="H417" s="466"/>
      <c r="I417" s="466"/>
      <c r="J417" s="554"/>
      <c r="K417" s="333">
        <v>5.1</v>
      </c>
      <c r="L417" s="376"/>
      <c r="M417" s="745"/>
    </row>
    <row r="418" spans="2:13" ht="18" customHeight="1">
      <c r="B418" s="735"/>
      <c r="C418" s="736"/>
      <c r="D418" s="735"/>
      <c r="E418" s="352" t="s">
        <v>262</v>
      </c>
      <c r="F418" s="466"/>
      <c r="G418" s="466"/>
      <c r="H418" s="466"/>
      <c r="I418" s="466"/>
      <c r="J418" s="554"/>
      <c r="K418" s="333">
        <v>15</v>
      </c>
      <c r="L418" s="376"/>
      <c r="M418" s="745"/>
    </row>
    <row r="419" spans="2:13" ht="18" customHeight="1">
      <c r="B419" s="735"/>
      <c r="C419" s="736"/>
      <c r="D419" s="735"/>
      <c r="E419" s="352" t="s">
        <v>440</v>
      </c>
      <c r="F419" s="466"/>
      <c r="G419" s="466"/>
      <c r="H419" s="466"/>
      <c r="I419" s="466"/>
      <c r="J419" s="554"/>
      <c r="K419" s="333">
        <v>20.21</v>
      </c>
      <c r="L419" s="376"/>
      <c r="M419" s="745"/>
    </row>
    <row r="420" spans="2:13" ht="18" customHeight="1">
      <c r="B420" s="735"/>
      <c r="C420" s="736"/>
      <c r="D420" s="735"/>
      <c r="E420" s="352" t="s">
        <v>391</v>
      </c>
      <c r="F420" s="466"/>
      <c r="G420" s="466"/>
      <c r="H420" s="466"/>
      <c r="I420" s="466"/>
      <c r="J420" s="554"/>
      <c r="K420" s="333">
        <v>1.42</v>
      </c>
      <c r="L420" s="376"/>
      <c r="M420" s="745"/>
    </row>
    <row r="421" spans="2:13" ht="18" customHeight="1">
      <c r="B421" s="735"/>
      <c r="C421" s="736"/>
      <c r="D421" s="735"/>
      <c r="E421" s="352" t="s">
        <v>381</v>
      </c>
      <c r="F421" s="466"/>
      <c r="G421" s="466"/>
      <c r="H421" s="466"/>
      <c r="I421" s="466"/>
      <c r="J421" s="554"/>
      <c r="K421" s="333">
        <v>1.42</v>
      </c>
      <c r="L421" s="376"/>
      <c r="M421" s="745"/>
    </row>
    <row r="422" spans="2:13" ht="18" customHeight="1">
      <c r="B422" s="735"/>
      <c r="C422" s="736"/>
      <c r="D422" s="735"/>
      <c r="E422" s="352" t="s">
        <v>373</v>
      </c>
      <c r="F422" s="466"/>
      <c r="G422" s="466"/>
      <c r="H422" s="466"/>
      <c r="I422" s="466"/>
      <c r="J422" s="554"/>
      <c r="K422" s="333">
        <v>3.6</v>
      </c>
      <c r="L422" s="376"/>
      <c r="M422" s="745"/>
    </row>
    <row r="423" spans="2:13" ht="18" customHeight="1">
      <c r="B423" s="735"/>
      <c r="C423" s="736"/>
      <c r="D423" s="735"/>
      <c r="E423" s="352" t="s">
        <v>374</v>
      </c>
      <c r="F423" s="466"/>
      <c r="G423" s="466"/>
      <c r="H423" s="466"/>
      <c r="I423" s="466"/>
      <c r="J423" s="554"/>
      <c r="K423" s="333">
        <v>13.2</v>
      </c>
      <c r="L423" s="376"/>
      <c r="M423" s="745"/>
    </row>
    <row r="424" spans="2:13" ht="18" customHeight="1">
      <c r="B424" s="735"/>
      <c r="C424" s="736"/>
      <c r="D424" s="735"/>
      <c r="E424" s="352" t="s">
        <v>375</v>
      </c>
      <c r="F424" s="466"/>
      <c r="G424" s="466"/>
      <c r="H424" s="466"/>
      <c r="I424" s="466"/>
      <c r="J424" s="554"/>
      <c r="K424" s="333">
        <v>9</v>
      </c>
      <c r="L424" s="376"/>
      <c r="M424" s="745"/>
    </row>
    <row r="425" spans="2:13" ht="18" customHeight="1">
      <c r="B425" s="735"/>
      <c r="C425" s="736"/>
      <c r="D425" s="735"/>
      <c r="E425" s="352" t="s">
        <v>428</v>
      </c>
      <c r="F425" s="466"/>
      <c r="G425" s="466"/>
      <c r="H425" s="466"/>
      <c r="I425" s="466"/>
      <c r="J425" s="554"/>
      <c r="K425" s="333">
        <v>24.51</v>
      </c>
      <c r="L425" s="376"/>
      <c r="M425" s="745"/>
    </row>
    <row r="426" spans="2:13" ht="18" customHeight="1">
      <c r="B426" s="735"/>
      <c r="C426" s="736"/>
      <c r="D426" s="735"/>
      <c r="E426" s="352" t="s">
        <v>429</v>
      </c>
      <c r="F426" s="466"/>
      <c r="G426" s="466"/>
      <c r="H426" s="466"/>
      <c r="I426" s="466"/>
      <c r="J426" s="554"/>
      <c r="K426" s="333">
        <v>6</v>
      </c>
      <c r="L426" s="376"/>
      <c r="M426" s="745"/>
    </row>
    <row r="427" spans="2:13" ht="18" customHeight="1">
      <c r="B427" s="735"/>
      <c r="C427" s="736"/>
      <c r="D427" s="735"/>
      <c r="E427" s="352" t="s">
        <v>263</v>
      </c>
      <c r="F427" s="466"/>
      <c r="G427" s="466"/>
      <c r="H427" s="466"/>
      <c r="I427" s="466"/>
      <c r="J427" s="554"/>
      <c r="K427" s="333">
        <v>4.8</v>
      </c>
      <c r="L427" s="376"/>
      <c r="M427" s="745"/>
    </row>
    <row r="428" spans="2:13" ht="18" customHeight="1">
      <c r="B428" s="735"/>
      <c r="C428" s="736"/>
      <c r="D428" s="735"/>
      <c r="E428" s="352" t="s">
        <v>376</v>
      </c>
      <c r="F428" s="466"/>
      <c r="G428" s="466"/>
      <c r="H428" s="466"/>
      <c r="I428" s="466"/>
      <c r="J428" s="554"/>
      <c r="K428" s="333">
        <v>4.2</v>
      </c>
      <c r="L428" s="376"/>
      <c r="M428" s="745"/>
    </row>
    <row r="429" spans="2:13" ht="18" customHeight="1">
      <c r="B429" s="735"/>
      <c r="C429" s="736"/>
      <c r="D429" s="735"/>
      <c r="E429" s="352" t="s">
        <v>264</v>
      </c>
      <c r="F429" s="466"/>
      <c r="G429" s="466"/>
      <c r="H429" s="466"/>
      <c r="I429" s="466"/>
      <c r="J429" s="554"/>
      <c r="K429" s="333">
        <v>4.8</v>
      </c>
      <c r="L429" s="376"/>
      <c r="M429" s="745"/>
    </row>
    <row r="430" spans="2:13" ht="18" customHeight="1">
      <c r="B430" s="735"/>
      <c r="C430" s="736"/>
      <c r="D430" s="735"/>
      <c r="E430" s="352" t="s">
        <v>377</v>
      </c>
      <c r="F430" s="466"/>
      <c r="G430" s="466"/>
      <c r="H430" s="466"/>
      <c r="I430" s="466"/>
      <c r="J430" s="554"/>
      <c r="K430" s="333">
        <v>10.65</v>
      </c>
      <c r="L430" s="376"/>
      <c r="M430" s="745"/>
    </row>
    <row r="431" spans="2:13" ht="18" customHeight="1">
      <c r="B431" s="735"/>
      <c r="C431" s="736"/>
      <c r="D431" s="735"/>
      <c r="E431" s="352" t="s">
        <v>378</v>
      </c>
      <c r="F431" s="466"/>
      <c r="G431" s="466"/>
      <c r="H431" s="466"/>
      <c r="I431" s="466"/>
      <c r="J431" s="554"/>
      <c r="K431" s="333">
        <v>11.4</v>
      </c>
      <c r="L431" s="376"/>
      <c r="M431" s="745"/>
    </row>
    <row r="432" spans="2:13" ht="18" customHeight="1">
      <c r="B432" s="735"/>
      <c r="C432" s="736"/>
      <c r="D432" s="735"/>
      <c r="E432" s="352" t="s">
        <v>379</v>
      </c>
      <c r="F432" s="466"/>
      <c r="G432" s="466"/>
      <c r="H432" s="466"/>
      <c r="I432" s="466"/>
      <c r="J432" s="554"/>
      <c r="K432" s="333">
        <v>4.2</v>
      </c>
      <c r="L432" s="376"/>
      <c r="M432" s="745"/>
    </row>
    <row r="433" spans="2:13" ht="18" customHeight="1">
      <c r="B433" s="735"/>
      <c r="C433" s="736"/>
      <c r="D433" s="735"/>
      <c r="E433" s="352" t="s">
        <v>430</v>
      </c>
      <c r="F433" s="466"/>
      <c r="G433" s="466"/>
      <c r="H433" s="466"/>
      <c r="I433" s="466"/>
      <c r="J433" s="554"/>
      <c r="K433" s="333">
        <v>5.55</v>
      </c>
      <c r="L433" s="376"/>
      <c r="M433" s="745"/>
    </row>
    <row r="434" spans="2:13" ht="18" customHeight="1">
      <c r="B434" s="735"/>
      <c r="C434" s="736"/>
      <c r="D434" s="735"/>
      <c r="E434" s="352" t="s">
        <v>381</v>
      </c>
      <c r="F434" s="466"/>
      <c r="G434" s="466"/>
      <c r="H434" s="466"/>
      <c r="I434" s="466"/>
      <c r="J434" s="554"/>
      <c r="K434" s="333">
        <v>3.4</v>
      </c>
      <c r="L434" s="376"/>
      <c r="M434" s="745"/>
    </row>
    <row r="435" spans="2:13" ht="18" customHeight="1">
      <c r="B435" s="735"/>
      <c r="C435" s="736"/>
      <c r="D435" s="735"/>
      <c r="E435" s="352" t="s">
        <v>88</v>
      </c>
      <c r="F435" s="466"/>
      <c r="G435" s="466"/>
      <c r="H435" s="466"/>
      <c r="I435" s="466"/>
      <c r="J435" s="554"/>
      <c r="K435" s="333">
        <v>32.7</v>
      </c>
      <c r="L435" s="376"/>
      <c r="M435" s="745"/>
    </row>
    <row r="436" spans="2:13" ht="18" customHeight="1">
      <c r="B436" s="735"/>
      <c r="C436" s="736"/>
      <c r="D436" s="735"/>
      <c r="E436" s="352" t="s">
        <v>441</v>
      </c>
      <c r="F436" s="466"/>
      <c r="G436" s="466"/>
      <c r="H436" s="466"/>
      <c r="I436" s="466"/>
      <c r="J436" s="554"/>
      <c r="K436" s="333">
        <v>18.92</v>
      </c>
      <c r="L436" s="376"/>
      <c r="M436" s="745"/>
    </row>
    <row r="437" spans="2:13" ht="18" customHeight="1">
      <c r="B437" s="735"/>
      <c r="C437" s="736"/>
      <c r="D437" s="735"/>
      <c r="E437" s="352" t="s">
        <v>413</v>
      </c>
      <c r="F437" s="466"/>
      <c r="G437" s="466"/>
      <c r="H437" s="466"/>
      <c r="I437" s="466"/>
      <c r="J437" s="554"/>
      <c r="K437" s="333">
        <v>5.1</v>
      </c>
      <c r="L437" s="376"/>
      <c r="M437" s="745"/>
    </row>
    <row r="438" spans="2:13" ht="18" customHeight="1">
      <c r="B438" s="735"/>
      <c r="C438" s="736"/>
      <c r="D438" s="735"/>
      <c r="E438" s="352" t="s">
        <v>383</v>
      </c>
      <c r="F438" s="363"/>
      <c r="G438" s="363"/>
      <c r="H438" s="363"/>
      <c r="I438" s="363"/>
      <c r="J438" s="597"/>
      <c r="K438" s="369">
        <v>12.45</v>
      </c>
      <c r="L438" s="376"/>
      <c r="M438" s="745"/>
    </row>
    <row r="439" spans="2:13" ht="18" customHeight="1">
      <c r="B439" s="735"/>
      <c r="C439" s="736"/>
      <c r="D439" s="735"/>
      <c r="E439" s="352" t="s">
        <v>382</v>
      </c>
      <c r="F439" s="363"/>
      <c r="G439" s="363"/>
      <c r="H439" s="363"/>
      <c r="I439" s="363"/>
      <c r="J439" s="597"/>
      <c r="K439" s="369">
        <v>5.1</v>
      </c>
      <c r="L439" s="376"/>
      <c r="M439" s="745"/>
    </row>
    <row r="440" spans="2:13" ht="18" customHeight="1">
      <c r="B440" s="735"/>
      <c r="C440" s="736"/>
      <c r="D440" s="735"/>
      <c r="E440" s="352" t="s">
        <v>382</v>
      </c>
      <c r="F440" s="363"/>
      <c r="G440" s="363"/>
      <c r="H440" s="363"/>
      <c r="I440" s="363"/>
      <c r="J440" s="597"/>
      <c r="K440" s="369">
        <v>5.1</v>
      </c>
      <c r="L440" s="376"/>
      <c r="M440" s="745"/>
    </row>
    <row r="441" spans="2:13" ht="18" customHeight="1">
      <c r="B441" s="735"/>
      <c r="C441" s="736"/>
      <c r="D441" s="735"/>
      <c r="E441" s="352" t="s">
        <v>384</v>
      </c>
      <c r="F441" s="363"/>
      <c r="G441" s="363"/>
      <c r="H441" s="363"/>
      <c r="I441" s="363"/>
      <c r="J441" s="597"/>
      <c r="K441" s="369">
        <v>11.1</v>
      </c>
      <c r="L441" s="376"/>
      <c r="M441" s="745"/>
    </row>
    <row r="442" spans="2:13" ht="18" customHeight="1">
      <c r="B442" s="735"/>
      <c r="C442" s="736"/>
      <c r="D442" s="735"/>
      <c r="E442" s="352" t="s">
        <v>415</v>
      </c>
      <c r="F442" s="363"/>
      <c r="G442" s="363"/>
      <c r="H442" s="363"/>
      <c r="I442" s="363"/>
      <c r="J442" s="597"/>
      <c r="K442" s="369">
        <v>10.5</v>
      </c>
      <c r="L442" s="376"/>
      <c r="M442" s="745"/>
    </row>
    <row r="443" spans="2:13" ht="18" customHeight="1">
      <c r="B443" s="735"/>
      <c r="C443" s="736"/>
      <c r="D443" s="735"/>
      <c r="E443" s="352" t="s">
        <v>391</v>
      </c>
      <c r="F443" s="363"/>
      <c r="G443" s="363"/>
      <c r="H443" s="363"/>
      <c r="I443" s="363"/>
      <c r="J443" s="597"/>
      <c r="K443" s="369">
        <v>3.32</v>
      </c>
      <c r="L443" s="376"/>
      <c r="M443" s="745"/>
    </row>
    <row r="444" spans="2:13" ht="18" customHeight="1">
      <c r="B444" s="735"/>
      <c r="C444" s="736"/>
      <c r="D444" s="735"/>
      <c r="E444" s="374" t="s">
        <v>373</v>
      </c>
      <c r="F444" s="364"/>
      <c r="G444" s="364"/>
      <c r="H444" s="598"/>
      <c r="I444" s="224"/>
      <c r="J444" s="555"/>
      <c r="K444" s="555">
        <v>4.12</v>
      </c>
      <c r="L444" s="376"/>
      <c r="M444" s="745"/>
    </row>
    <row r="445" spans="2:13" ht="18" customHeight="1">
      <c r="B445" s="728" t="str">
        <f>'Pl Orçamentária'!B136</f>
        <v>9.7</v>
      </c>
      <c r="C445" s="731" t="str">
        <f>VLOOKUP(B445,'Pl Orçamentária'!$B$17:$L$238,4,FALSE)</f>
        <v>Aplicação manual de pintura com tinta PVA em teto, branco neve, duas demãos</v>
      </c>
      <c r="D445" s="735" t="s">
        <v>33</v>
      </c>
      <c r="E445" s="343" t="s">
        <v>261</v>
      </c>
      <c r="F445" s="425"/>
      <c r="G445" s="425"/>
      <c r="H445" s="425"/>
      <c r="I445" s="425"/>
      <c r="J445" s="553"/>
      <c r="K445" s="225">
        <v>6.6</v>
      </c>
      <c r="L445" s="375"/>
      <c r="M445" s="745">
        <f>SUM(K445:K474)</f>
        <v>268.57</v>
      </c>
    </row>
    <row r="446" spans="2:13" ht="18" customHeight="1">
      <c r="B446" s="735"/>
      <c r="C446" s="736"/>
      <c r="D446" s="735"/>
      <c r="E446" s="352" t="s">
        <v>423</v>
      </c>
      <c r="F446" s="466"/>
      <c r="G446" s="466"/>
      <c r="H446" s="466"/>
      <c r="I446" s="466"/>
      <c r="J446" s="554"/>
      <c r="K446" s="333">
        <v>5.1</v>
      </c>
      <c r="L446" s="376"/>
      <c r="M446" s="745"/>
    </row>
    <row r="447" spans="2:13" ht="18" customHeight="1">
      <c r="B447" s="735"/>
      <c r="C447" s="736"/>
      <c r="D447" s="735"/>
      <c r="E447" s="352" t="s">
        <v>410</v>
      </c>
      <c r="F447" s="466"/>
      <c r="G447" s="466"/>
      <c r="H447" s="466"/>
      <c r="I447" s="466"/>
      <c r="J447" s="554"/>
      <c r="K447" s="333">
        <v>5.1</v>
      </c>
      <c r="L447" s="376"/>
      <c r="M447" s="745"/>
    </row>
    <row r="448" spans="2:13" ht="18" customHeight="1">
      <c r="B448" s="735"/>
      <c r="C448" s="736"/>
      <c r="D448" s="735"/>
      <c r="E448" s="352" t="s">
        <v>262</v>
      </c>
      <c r="F448" s="466"/>
      <c r="G448" s="466"/>
      <c r="H448" s="466"/>
      <c r="I448" s="466"/>
      <c r="J448" s="554"/>
      <c r="K448" s="333">
        <v>15</v>
      </c>
      <c r="L448" s="376"/>
      <c r="M448" s="745"/>
    </row>
    <row r="449" spans="2:13" ht="18" customHeight="1">
      <c r="B449" s="735"/>
      <c r="C449" s="736"/>
      <c r="D449" s="735"/>
      <c r="E449" s="352" t="s">
        <v>440</v>
      </c>
      <c r="F449" s="466"/>
      <c r="G449" s="466"/>
      <c r="H449" s="466"/>
      <c r="I449" s="466"/>
      <c r="J449" s="554"/>
      <c r="K449" s="333">
        <v>20.21</v>
      </c>
      <c r="L449" s="376"/>
      <c r="M449" s="745"/>
    </row>
    <row r="450" spans="2:13" ht="18" customHeight="1">
      <c r="B450" s="735"/>
      <c r="C450" s="736"/>
      <c r="D450" s="735"/>
      <c r="E450" s="352" t="s">
        <v>391</v>
      </c>
      <c r="F450" s="466"/>
      <c r="G450" s="466"/>
      <c r="H450" s="466"/>
      <c r="I450" s="466"/>
      <c r="J450" s="554"/>
      <c r="K450" s="333">
        <v>1.42</v>
      </c>
      <c r="L450" s="376"/>
      <c r="M450" s="745"/>
    </row>
    <row r="451" spans="2:13" ht="18" customHeight="1">
      <c r="B451" s="735"/>
      <c r="C451" s="736"/>
      <c r="D451" s="735"/>
      <c r="E451" s="352" t="s">
        <v>381</v>
      </c>
      <c r="F451" s="466"/>
      <c r="G451" s="466"/>
      <c r="H451" s="466"/>
      <c r="I451" s="466"/>
      <c r="J451" s="554"/>
      <c r="K451" s="333">
        <v>1.42</v>
      </c>
      <c r="L451" s="376"/>
      <c r="M451" s="745"/>
    </row>
    <row r="452" spans="2:13" ht="18" customHeight="1">
      <c r="B452" s="735"/>
      <c r="C452" s="736"/>
      <c r="D452" s="735"/>
      <c r="E452" s="352" t="s">
        <v>373</v>
      </c>
      <c r="F452" s="466"/>
      <c r="G452" s="466"/>
      <c r="H452" s="466"/>
      <c r="I452" s="466"/>
      <c r="J452" s="554"/>
      <c r="K452" s="333">
        <v>3.6</v>
      </c>
      <c r="L452" s="376"/>
      <c r="M452" s="745"/>
    </row>
    <row r="453" spans="2:13" ht="18" customHeight="1">
      <c r="B453" s="735"/>
      <c r="C453" s="736"/>
      <c r="D453" s="735"/>
      <c r="E453" s="352" t="s">
        <v>374</v>
      </c>
      <c r="F453" s="466"/>
      <c r="G453" s="466"/>
      <c r="H453" s="466"/>
      <c r="I453" s="466"/>
      <c r="J453" s="554"/>
      <c r="K453" s="333">
        <v>13.2</v>
      </c>
      <c r="L453" s="376"/>
      <c r="M453" s="745"/>
    </row>
    <row r="454" spans="2:13" ht="18" customHeight="1">
      <c r="B454" s="735"/>
      <c r="C454" s="736"/>
      <c r="D454" s="735"/>
      <c r="E454" s="352" t="s">
        <v>375</v>
      </c>
      <c r="F454" s="466"/>
      <c r="G454" s="466"/>
      <c r="H454" s="466"/>
      <c r="I454" s="466"/>
      <c r="J454" s="554"/>
      <c r="K454" s="333">
        <v>9</v>
      </c>
      <c r="L454" s="376"/>
      <c r="M454" s="745"/>
    </row>
    <row r="455" spans="2:13" ht="18" customHeight="1">
      <c r="B455" s="735"/>
      <c r="C455" s="736"/>
      <c r="D455" s="735"/>
      <c r="E455" s="352" t="s">
        <v>428</v>
      </c>
      <c r="F455" s="466"/>
      <c r="G455" s="466"/>
      <c r="H455" s="466"/>
      <c r="I455" s="466"/>
      <c r="J455" s="554"/>
      <c r="K455" s="333">
        <v>24.51</v>
      </c>
      <c r="L455" s="376"/>
      <c r="M455" s="745"/>
    </row>
    <row r="456" spans="2:13" ht="18" customHeight="1">
      <c r="B456" s="735"/>
      <c r="C456" s="736"/>
      <c r="D456" s="735"/>
      <c r="E456" s="352" t="s">
        <v>429</v>
      </c>
      <c r="F456" s="466"/>
      <c r="G456" s="466"/>
      <c r="H456" s="466"/>
      <c r="I456" s="466"/>
      <c r="J456" s="554"/>
      <c r="K456" s="333">
        <v>6</v>
      </c>
      <c r="L456" s="376"/>
      <c r="M456" s="745"/>
    </row>
    <row r="457" spans="2:13" ht="18" customHeight="1">
      <c r="B457" s="735"/>
      <c r="C457" s="736"/>
      <c r="D457" s="735"/>
      <c r="E457" s="352" t="s">
        <v>263</v>
      </c>
      <c r="F457" s="466"/>
      <c r="G457" s="466"/>
      <c r="H457" s="466"/>
      <c r="I457" s="466"/>
      <c r="J457" s="554"/>
      <c r="K457" s="333">
        <v>4.8</v>
      </c>
      <c r="L457" s="376"/>
      <c r="M457" s="745"/>
    </row>
    <row r="458" spans="2:13" ht="18" customHeight="1">
      <c r="B458" s="735"/>
      <c r="C458" s="736"/>
      <c r="D458" s="735"/>
      <c r="E458" s="352" t="s">
        <v>376</v>
      </c>
      <c r="F458" s="466"/>
      <c r="G458" s="466"/>
      <c r="H458" s="466"/>
      <c r="I458" s="466"/>
      <c r="J458" s="554"/>
      <c r="K458" s="333">
        <v>4.2</v>
      </c>
      <c r="L458" s="376"/>
      <c r="M458" s="745"/>
    </row>
    <row r="459" spans="2:13" ht="18" customHeight="1">
      <c r="B459" s="735"/>
      <c r="C459" s="736"/>
      <c r="D459" s="735"/>
      <c r="E459" s="352" t="s">
        <v>264</v>
      </c>
      <c r="F459" s="466"/>
      <c r="G459" s="466"/>
      <c r="H459" s="466"/>
      <c r="I459" s="466"/>
      <c r="J459" s="554"/>
      <c r="K459" s="333">
        <v>4.8</v>
      </c>
      <c r="L459" s="376"/>
      <c r="M459" s="745"/>
    </row>
    <row r="460" spans="2:13" ht="18" customHeight="1">
      <c r="B460" s="735"/>
      <c r="C460" s="736"/>
      <c r="D460" s="735"/>
      <c r="E460" s="352" t="s">
        <v>377</v>
      </c>
      <c r="F460" s="466"/>
      <c r="G460" s="466"/>
      <c r="H460" s="466"/>
      <c r="I460" s="466"/>
      <c r="J460" s="554"/>
      <c r="K460" s="333">
        <v>10.65</v>
      </c>
      <c r="L460" s="376"/>
      <c r="M460" s="745"/>
    </row>
    <row r="461" spans="2:13" ht="18" customHeight="1">
      <c r="B461" s="735"/>
      <c r="C461" s="736"/>
      <c r="D461" s="735"/>
      <c r="E461" s="352" t="s">
        <v>378</v>
      </c>
      <c r="F461" s="466"/>
      <c r="G461" s="466"/>
      <c r="H461" s="466"/>
      <c r="I461" s="466"/>
      <c r="J461" s="554"/>
      <c r="K461" s="333">
        <v>11.4</v>
      </c>
      <c r="L461" s="376"/>
      <c r="M461" s="745"/>
    </row>
    <row r="462" spans="2:13" ht="18" customHeight="1">
      <c r="B462" s="735"/>
      <c r="C462" s="736"/>
      <c r="D462" s="735"/>
      <c r="E462" s="352" t="s">
        <v>379</v>
      </c>
      <c r="F462" s="466"/>
      <c r="G462" s="466"/>
      <c r="H462" s="466"/>
      <c r="I462" s="466"/>
      <c r="J462" s="554"/>
      <c r="K462" s="333">
        <v>4.2</v>
      </c>
      <c r="L462" s="376"/>
      <c r="M462" s="745"/>
    </row>
    <row r="463" spans="2:13" ht="18" customHeight="1">
      <c r="B463" s="735"/>
      <c r="C463" s="736"/>
      <c r="D463" s="735"/>
      <c r="E463" s="352" t="s">
        <v>430</v>
      </c>
      <c r="F463" s="466"/>
      <c r="G463" s="466"/>
      <c r="H463" s="466"/>
      <c r="I463" s="466"/>
      <c r="J463" s="554"/>
      <c r="K463" s="333">
        <v>5.55</v>
      </c>
      <c r="L463" s="376"/>
      <c r="M463" s="745"/>
    </row>
    <row r="464" spans="2:13" ht="18" customHeight="1">
      <c r="B464" s="735"/>
      <c r="C464" s="736"/>
      <c r="D464" s="735"/>
      <c r="E464" s="352" t="s">
        <v>381</v>
      </c>
      <c r="F464" s="466"/>
      <c r="G464" s="466"/>
      <c r="H464" s="466"/>
      <c r="I464" s="466"/>
      <c r="J464" s="554"/>
      <c r="K464" s="333">
        <v>3.4</v>
      </c>
      <c r="L464" s="376"/>
      <c r="M464" s="745"/>
    </row>
    <row r="465" spans="2:13" ht="18" customHeight="1">
      <c r="B465" s="735"/>
      <c r="C465" s="736"/>
      <c r="D465" s="735"/>
      <c r="E465" s="352" t="s">
        <v>88</v>
      </c>
      <c r="F465" s="466"/>
      <c r="G465" s="466"/>
      <c r="H465" s="466"/>
      <c r="I465" s="466"/>
      <c r="J465" s="554"/>
      <c r="K465" s="333">
        <v>32.7</v>
      </c>
      <c r="L465" s="376"/>
      <c r="M465" s="745"/>
    </row>
    <row r="466" spans="2:13" ht="18" customHeight="1">
      <c r="B466" s="735"/>
      <c r="C466" s="736"/>
      <c r="D466" s="735"/>
      <c r="E466" s="352" t="s">
        <v>441</v>
      </c>
      <c r="F466" s="466"/>
      <c r="G466" s="466"/>
      <c r="H466" s="466"/>
      <c r="I466" s="466"/>
      <c r="J466" s="554"/>
      <c r="K466" s="333">
        <v>18.92</v>
      </c>
      <c r="L466" s="376"/>
      <c r="M466" s="745"/>
    </row>
    <row r="467" spans="2:13" ht="18" customHeight="1">
      <c r="B467" s="735"/>
      <c r="C467" s="736"/>
      <c r="D467" s="735"/>
      <c r="E467" s="352" t="s">
        <v>413</v>
      </c>
      <c r="F467" s="466"/>
      <c r="G467" s="466"/>
      <c r="H467" s="466"/>
      <c r="I467" s="466"/>
      <c r="J467" s="554"/>
      <c r="K467" s="333">
        <v>5.1</v>
      </c>
      <c r="L467" s="376"/>
      <c r="M467" s="745"/>
    </row>
    <row r="468" spans="2:13" ht="18" customHeight="1">
      <c r="B468" s="735"/>
      <c r="C468" s="736"/>
      <c r="D468" s="735"/>
      <c r="E468" s="352" t="s">
        <v>383</v>
      </c>
      <c r="F468" s="363"/>
      <c r="G468" s="363"/>
      <c r="H468" s="363"/>
      <c r="I468" s="363"/>
      <c r="J468" s="597"/>
      <c r="K468" s="369">
        <v>12.45</v>
      </c>
      <c r="L468" s="376"/>
      <c r="M468" s="745"/>
    </row>
    <row r="469" spans="2:13" ht="18" customHeight="1">
      <c r="B469" s="735"/>
      <c r="C469" s="736"/>
      <c r="D469" s="735"/>
      <c r="E469" s="352" t="s">
        <v>382</v>
      </c>
      <c r="F469" s="363"/>
      <c r="G469" s="363"/>
      <c r="H469" s="363"/>
      <c r="I469" s="363"/>
      <c r="J469" s="597"/>
      <c r="K469" s="369">
        <v>5.1</v>
      </c>
      <c r="L469" s="376"/>
      <c r="M469" s="745"/>
    </row>
    <row r="470" spans="2:13" ht="18" customHeight="1">
      <c r="B470" s="735"/>
      <c r="C470" s="736"/>
      <c r="D470" s="735"/>
      <c r="E470" s="352" t="s">
        <v>382</v>
      </c>
      <c r="F470" s="363"/>
      <c r="G470" s="363"/>
      <c r="H470" s="363"/>
      <c r="I470" s="363"/>
      <c r="J470" s="597"/>
      <c r="K470" s="369">
        <v>5.1</v>
      </c>
      <c r="L470" s="376"/>
      <c r="M470" s="745"/>
    </row>
    <row r="471" spans="2:13" ht="18" customHeight="1">
      <c r="B471" s="735"/>
      <c r="C471" s="736"/>
      <c r="D471" s="735"/>
      <c r="E471" s="352" t="s">
        <v>384</v>
      </c>
      <c r="F471" s="363"/>
      <c r="G471" s="363"/>
      <c r="H471" s="363"/>
      <c r="I471" s="363"/>
      <c r="J471" s="597"/>
      <c r="K471" s="369">
        <v>11.1</v>
      </c>
      <c r="L471" s="376"/>
      <c r="M471" s="745"/>
    </row>
    <row r="472" spans="2:13" ht="18" customHeight="1">
      <c r="B472" s="735"/>
      <c r="C472" s="736"/>
      <c r="D472" s="735"/>
      <c r="E472" s="352" t="s">
        <v>415</v>
      </c>
      <c r="F472" s="363"/>
      <c r="G472" s="363"/>
      <c r="H472" s="363"/>
      <c r="I472" s="363"/>
      <c r="J472" s="597"/>
      <c r="K472" s="369">
        <v>10.5</v>
      </c>
      <c r="L472" s="376"/>
      <c r="M472" s="745"/>
    </row>
    <row r="473" spans="2:13" ht="18" customHeight="1">
      <c r="B473" s="735"/>
      <c r="C473" s="736"/>
      <c r="D473" s="735"/>
      <c r="E473" s="352" t="s">
        <v>391</v>
      </c>
      <c r="F473" s="363"/>
      <c r="G473" s="363"/>
      <c r="H473" s="363"/>
      <c r="I473" s="363"/>
      <c r="J473" s="597"/>
      <c r="K473" s="369">
        <v>3.32</v>
      </c>
      <c r="L473" s="376"/>
      <c r="M473" s="745"/>
    </row>
    <row r="474" spans="2:13" ht="18" customHeight="1">
      <c r="B474" s="735"/>
      <c r="C474" s="736"/>
      <c r="D474" s="735"/>
      <c r="E474" s="374" t="s">
        <v>373</v>
      </c>
      <c r="F474" s="364"/>
      <c r="G474" s="364"/>
      <c r="H474" s="598"/>
      <c r="I474" s="224"/>
      <c r="J474" s="555"/>
      <c r="K474" s="555">
        <v>4.12</v>
      </c>
      <c r="L474" s="376"/>
      <c r="M474" s="745"/>
    </row>
    <row r="475" spans="2:13" ht="36">
      <c r="B475" s="487" t="str">
        <f>'Pl Orçamentária'!B138</f>
        <v>9.9</v>
      </c>
      <c r="C475" s="488" t="str">
        <f>VLOOKUP(B475,'Pl Orçamentária'!$B$17:$L$238,4,FALSE)</f>
        <v>Pintura com tinta em po industrializada a base de cal, duas demaos</v>
      </c>
      <c r="D475" s="487" t="s">
        <v>33</v>
      </c>
      <c r="E475" s="343" t="s">
        <v>291</v>
      </c>
      <c r="F475" s="225">
        <v>2</v>
      </c>
      <c r="G475" s="487">
        <v>151.74</v>
      </c>
      <c r="H475" s="425"/>
      <c r="I475" s="425"/>
      <c r="J475" s="225">
        <v>1.8</v>
      </c>
      <c r="K475" s="225">
        <f>F475*G475*J475</f>
        <v>546.264</v>
      </c>
      <c r="L475" s="375"/>
      <c r="M475" s="489">
        <f>K475</f>
        <v>546.264</v>
      </c>
    </row>
    <row r="476" spans="2:13" ht="18" customHeight="1">
      <c r="B476" s="742" t="str">
        <f>'Pl Orçamentária'!B137</f>
        <v>9.8</v>
      </c>
      <c r="C476" s="729" t="str">
        <f>VLOOKUP(B476,'Pl Orçamentária'!$B$17:$L$238,4,FALSE)</f>
        <v>Pintura esmalte acetinado para madeira, duas demãos, sobre fundo branco</v>
      </c>
      <c r="D476" s="737" t="s">
        <v>33</v>
      </c>
      <c r="E476" s="467" t="s">
        <v>442</v>
      </c>
      <c r="F476" s="225"/>
      <c r="G476" s="225"/>
      <c r="H476" s="262"/>
      <c r="I476" s="225"/>
      <c r="J476" s="443"/>
      <c r="K476" s="225"/>
      <c r="L476" s="375"/>
      <c r="M476" s="732">
        <f>SUM(K476:K486)</f>
        <v>152.49000000000004</v>
      </c>
    </row>
    <row r="477" spans="2:13" ht="54">
      <c r="B477" s="743"/>
      <c r="C477" s="730"/>
      <c r="D477" s="738"/>
      <c r="E477" s="352" t="str">
        <f>C82</f>
        <v>Porta de madeira compensada lisa, 60x210x3,5cm, incluso aduela 2A, alizar 2A e dobradiças</v>
      </c>
      <c r="F477" s="333">
        <f>M82</f>
        <v>2</v>
      </c>
      <c r="G477" s="333"/>
      <c r="H477" s="363"/>
      <c r="I477" s="333">
        <v>0.6</v>
      </c>
      <c r="J477" s="333">
        <v>2.1</v>
      </c>
      <c r="K477" s="333">
        <f>2*(F477*I477*J477)</f>
        <v>5.04</v>
      </c>
      <c r="L477" s="376"/>
      <c r="M477" s="733"/>
    </row>
    <row r="478" spans="2:13" ht="54">
      <c r="B478" s="743"/>
      <c r="C478" s="730"/>
      <c r="D478" s="738"/>
      <c r="E478" s="352" t="str">
        <f>C84</f>
        <v>Porta de madeira compensada lisa 80x210x3,5cm, incluso aduela, alizar e dobradicas </v>
      </c>
      <c r="F478" s="333">
        <f>M84</f>
        <v>25</v>
      </c>
      <c r="G478" s="333"/>
      <c r="H478" s="363"/>
      <c r="I478" s="333">
        <v>0.8</v>
      </c>
      <c r="J478" s="333">
        <v>2.1</v>
      </c>
      <c r="K478" s="333">
        <f>2*(F478*I478*J478)</f>
        <v>84</v>
      </c>
      <c r="L478" s="376"/>
      <c r="M478" s="733"/>
    </row>
    <row r="479" spans="2:13" ht="54">
      <c r="B479" s="743"/>
      <c r="C479" s="730"/>
      <c r="D479" s="738"/>
      <c r="E479" s="352" t="str">
        <f>C106</f>
        <v>Porta de madeira compensada lisa, 120x210x3,5cm, incluso aduela 2A, alizar 2A e dobradiças vai vem</v>
      </c>
      <c r="F479" s="333">
        <f>M106</f>
        <v>1</v>
      </c>
      <c r="G479" s="333"/>
      <c r="H479" s="363"/>
      <c r="I479" s="333">
        <v>1.2</v>
      </c>
      <c r="J479" s="333">
        <v>2.1</v>
      </c>
      <c r="K479" s="333">
        <f>2*(F479*I479*J479)</f>
        <v>5.04</v>
      </c>
      <c r="L479" s="376"/>
      <c r="M479" s="733"/>
    </row>
    <row r="480" spans="2:13" ht="72">
      <c r="B480" s="743"/>
      <c r="C480" s="730"/>
      <c r="D480" s="738"/>
      <c r="E480" s="352" t="str">
        <f>C107</f>
        <v>Porta de madeira compensada lisa, 150x210x3,5cm, 2 folhas incluso aduela 2A, alizar 2A e dobradiças vai vem</v>
      </c>
      <c r="F480" s="333">
        <f>M107</f>
        <v>1</v>
      </c>
      <c r="G480" s="333"/>
      <c r="H480" s="363"/>
      <c r="I480" s="333">
        <v>1.5</v>
      </c>
      <c r="J480" s="333">
        <v>2.1</v>
      </c>
      <c r="K480" s="333">
        <f>2*(F480*I480*J480)</f>
        <v>6.300000000000001</v>
      </c>
      <c r="L480" s="376"/>
      <c r="M480" s="733"/>
    </row>
    <row r="481" spans="2:13" ht="72">
      <c r="B481" s="743"/>
      <c r="C481" s="730"/>
      <c r="D481" s="738"/>
      <c r="E481" s="352" t="str">
        <f>C108</f>
        <v>Porta de madeira compensada lisa, 200x210x3,5cm, 2 folhas incluso aduela 2A, alizar 2A e dobradiças vai vem</v>
      </c>
      <c r="F481" s="333">
        <f>M108</f>
        <v>1</v>
      </c>
      <c r="G481" s="333"/>
      <c r="H481" s="363"/>
      <c r="I481" s="333">
        <v>2</v>
      </c>
      <c r="J481" s="333">
        <v>2.1</v>
      </c>
      <c r="K481" s="333">
        <f>2*(F481*I481*J481)</f>
        <v>8.4</v>
      </c>
      <c r="L481" s="376"/>
      <c r="M481" s="733"/>
    </row>
    <row r="482" spans="2:13" ht="18" customHeight="1">
      <c r="B482" s="743"/>
      <c r="C482" s="730"/>
      <c r="D482" s="738"/>
      <c r="E482" s="468" t="s">
        <v>442</v>
      </c>
      <c r="F482" s="333"/>
      <c r="G482" s="333"/>
      <c r="H482" s="363"/>
      <c r="I482" s="333"/>
      <c r="J482" s="597"/>
      <c r="K482" s="333"/>
      <c r="L482" s="376"/>
      <c r="M482" s="733"/>
    </row>
    <row r="483" spans="2:13" ht="54">
      <c r="B483" s="743"/>
      <c r="C483" s="730"/>
      <c r="D483" s="738"/>
      <c r="E483" s="352" t="str">
        <f>C82</f>
        <v>Porta de madeira compensada lisa, 60x210x3,5cm, incluso aduela 2A, alizar 2A e dobradiças</v>
      </c>
      <c r="F483" s="333">
        <f>M82</f>
        <v>2</v>
      </c>
      <c r="G483" s="333">
        <f>0.6+2*2.1</f>
        <v>4.8</v>
      </c>
      <c r="H483" s="363"/>
      <c r="I483" s="333">
        <f>0.25+0.05</f>
        <v>0.3</v>
      </c>
      <c r="J483" s="597"/>
      <c r="K483" s="333">
        <f>F483*G483*I483</f>
        <v>2.88</v>
      </c>
      <c r="L483" s="376"/>
      <c r="M483" s="733"/>
    </row>
    <row r="484" spans="2:13" ht="54">
      <c r="B484" s="743"/>
      <c r="C484" s="730"/>
      <c r="D484" s="738"/>
      <c r="E484" s="352" t="str">
        <f>C84</f>
        <v>Porta de madeira compensada lisa 80x210x3,5cm, incluso aduela, alizar e dobradicas </v>
      </c>
      <c r="F484" s="333">
        <f>M84</f>
        <v>25</v>
      </c>
      <c r="G484" s="333">
        <f>0.8+2*2.1</f>
        <v>5</v>
      </c>
      <c r="H484" s="363"/>
      <c r="I484" s="333">
        <f>0.25+0.05</f>
        <v>0.3</v>
      </c>
      <c r="J484" s="597"/>
      <c r="K484" s="333">
        <f>F484*G484*I484</f>
        <v>37.5</v>
      </c>
      <c r="L484" s="376"/>
      <c r="M484" s="733"/>
    </row>
    <row r="485" spans="2:13" ht="54" customHeight="1">
      <c r="B485" s="743"/>
      <c r="C485" s="730"/>
      <c r="D485" s="738"/>
      <c r="E485" s="352" t="str">
        <f>C106</f>
        <v>Porta de madeira compensada lisa, 120x210x3,5cm, incluso aduela 2A, alizar 2A e dobradiças vai vem</v>
      </c>
      <c r="F485" s="333">
        <f>M106</f>
        <v>1</v>
      </c>
      <c r="G485" s="333">
        <f>1.2+2*2.1</f>
        <v>5.4</v>
      </c>
      <c r="H485" s="363"/>
      <c r="I485" s="333">
        <f>0.25+0.05</f>
        <v>0.3</v>
      </c>
      <c r="J485" s="597"/>
      <c r="K485" s="333">
        <f>F485*G485*I485</f>
        <v>1.62</v>
      </c>
      <c r="L485" s="376"/>
      <c r="M485" s="733"/>
    </row>
    <row r="486" spans="2:13" ht="54" customHeight="1">
      <c r="B486" s="743"/>
      <c r="C486" s="730"/>
      <c r="D486" s="738"/>
      <c r="E486" s="352" t="str">
        <f>C107</f>
        <v>Porta de madeira compensada lisa, 150x210x3,5cm, 2 folhas incluso aduela 2A, alizar 2A e dobradiças vai vem</v>
      </c>
      <c r="F486" s="333">
        <f>M107</f>
        <v>1</v>
      </c>
      <c r="G486" s="333">
        <f>1.5+2*2.1</f>
        <v>5.7</v>
      </c>
      <c r="H486" s="363"/>
      <c r="I486" s="333">
        <f>0.25+0.05</f>
        <v>0.3</v>
      </c>
      <c r="J486" s="597"/>
      <c r="K486" s="333">
        <f>F486*G486*I486</f>
        <v>1.71</v>
      </c>
      <c r="L486" s="376"/>
      <c r="M486" s="733"/>
    </row>
    <row r="487" spans="2:13" ht="54" customHeight="1">
      <c r="B487" s="744"/>
      <c r="C487" s="731"/>
      <c r="D487" s="739"/>
      <c r="E487" s="344" t="str">
        <f>C108</f>
        <v>Porta de madeira compensada lisa, 200x210x3,5cm, 2 folhas incluso aduela 2A, alizar 2A e dobradiças vai vem</v>
      </c>
      <c r="F487" s="224">
        <f>M108</f>
        <v>1</v>
      </c>
      <c r="G487" s="224">
        <f>2+2*2.1</f>
        <v>6.2</v>
      </c>
      <c r="H487" s="598"/>
      <c r="I487" s="224">
        <f>0.25+0.05</f>
        <v>0.3</v>
      </c>
      <c r="J487" s="555"/>
      <c r="K487" s="224">
        <f>F487*G487*I487</f>
        <v>1.8599999999999999</v>
      </c>
      <c r="L487" s="593"/>
      <c r="M487" s="734"/>
    </row>
    <row r="488" spans="2:13" ht="18" customHeight="1">
      <c r="B488" s="726" t="str">
        <f>'Pl Orçamentária'!B139</f>
        <v>9.10</v>
      </c>
      <c r="C488" s="729" t="str">
        <f>VLOOKUP(B488,'Pl Orçamentária'!$B$17:$L$238,4,FALSE)</f>
        <v>Pintura esmalte sintético em esquadrias de ferro com base anti-ferrugem, incluindo gradil</v>
      </c>
      <c r="D488" s="742" t="s">
        <v>33</v>
      </c>
      <c r="E488" s="343" t="s">
        <v>446</v>
      </c>
      <c r="F488" s="225">
        <v>2</v>
      </c>
      <c r="G488" s="225"/>
      <c r="H488" s="262"/>
      <c r="I488" s="225">
        <v>0.8</v>
      </c>
      <c r="J488" s="264">
        <v>2.1</v>
      </c>
      <c r="K488" s="225">
        <f aca="true" t="shared" si="9" ref="K488:K493">F488*I488*J488</f>
        <v>3.3600000000000003</v>
      </c>
      <c r="L488" s="375"/>
      <c r="M488" s="732">
        <f>SUM(K488:K494)*2</f>
        <v>191.02400000000003</v>
      </c>
    </row>
    <row r="489" spans="2:13" ht="54">
      <c r="B489" s="727"/>
      <c r="C489" s="730"/>
      <c r="D489" s="743"/>
      <c r="E489" s="352" t="s">
        <v>443</v>
      </c>
      <c r="F489" s="333">
        <v>1</v>
      </c>
      <c r="G489" s="333"/>
      <c r="H489" s="363"/>
      <c r="I489" s="333">
        <v>1.2</v>
      </c>
      <c r="J489" s="333">
        <v>2.1</v>
      </c>
      <c r="K489" s="333">
        <f t="shared" si="9"/>
        <v>2.52</v>
      </c>
      <c r="L489" s="376"/>
      <c r="M489" s="733"/>
    </row>
    <row r="490" spans="2:13" ht="54">
      <c r="B490" s="727"/>
      <c r="C490" s="730"/>
      <c r="D490" s="743"/>
      <c r="E490" s="352" t="s">
        <v>444</v>
      </c>
      <c r="F490" s="333">
        <v>1</v>
      </c>
      <c r="G490" s="333"/>
      <c r="H490" s="363"/>
      <c r="I490" s="333">
        <v>2</v>
      </c>
      <c r="J490" s="333">
        <v>2.1</v>
      </c>
      <c r="K490" s="333">
        <f t="shared" si="9"/>
        <v>4.2</v>
      </c>
      <c r="L490" s="376"/>
      <c r="M490" s="733"/>
    </row>
    <row r="491" spans="2:13" ht="36">
      <c r="B491" s="727"/>
      <c r="C491" s="730"/>
      <c r="D491" s="743"/>
      <c r="E491" s="352" t="s">
        <v>369</v>
      </c>
      <c r="F491" s="333">
        <v>2</v>
      </c>
      <c r="G491" s="333"/>
      <c r="H491" s="363"/>
      <c r="I491" s="333">
        <v>2</v>
      </c>
      <c r="J491" s="333">
        <v>2.1</v>
      </c>
      <c r="K491" s="333">
        <f t="shared" si="9"/>
        <v>8.4</v>
      </c>
      <c r="L491" s="376"/>
      <c r="M491" s="733"/>
    </row>
    <row r="492" spans="2:13" ht="18">
      <c r="B492" s="727"/>
      <c r="C492" s="730"/>
      <c r="D492" s="743"/>
      <c r="E492" s="352" t="s">
        <v>445</v>
      </c>
      <c r="F492" s="333">
        <v>2</v>
      </c>
      <c r="G492" s="333"/>
      <c r="H492" s="363"/>
      <c r="I492" s="333">
        <v>0.5</v>
      </c>
      <c r="J492" s="333">
        <v>1.6</v>
      </c>
      <c r="K492" s="333">
        <f t="shared" si="9"/>
        <v>1.6</v>
      </c>
      <c r="L492" s="376"/>
      <c r="M492" s="733"/>
    </row>
    <row r="493" spans="2:13" ht="18">
      <c r="B493" s="727"/>
      <c r="C493" s="730"/>
      <c r="D493" s="743"/>
      <c r="E493" s="352" t="s">
        <v>447</v>
      </c>
      <c r="F493" s="333">
        <v>1</v>
      </c>
      <c r="G493" s="333"/>
      <c r="H493" s="363"/>
      <c r="I493" s="333">
        <v>3</v>
      </c>
      <c r="J493" s="333">
        <v>2.1</v>
      </c>
      <c r="K493" s="333">
        <f t="shared" si="9"/>
        <v>6.300000000000001</v>
      </c>
      <c r="L493" s="376"/>
      <c r="M493" s="733"/>
    </row>
    <row r="494" spans="2:13" ht="18">
      <c r="B494" s="728"/>
      <c r="C494" s="731"/>
      <c r="D494" s="744"/>
      <c r="E494" s="344" t="s">
        <v>273</v>
      </c>
      <c r="F494" s="224"/>
      <c r="G494" s="224"/>
      <c r="H494" s="555">
        <v>32.92</v>
      </c>
      <c r="I494" s="224"/>
      <c r="J494" s="224">
        <v>2.1</v>
      </c>
      <c r="K494" s="224">
        <f>H494*J494</f>
        <v>69.132</v>
      </c>
      <c r="L494" s="593"/>
      <c r="M494" s="734"/>
    </row>
    <row r="495" spans="2:13" ht="7.5" customHeight="1" thickBot="1">
      <c r="B495" s="53"/>
      <c r="C495" s="52"/>
      <c r="D495" s="51"/>
      <c r="E495" s="49"/>
      <c r="F495" s="50"/>
      <c r="G495" s="50"/>
      <c r="H495" s="79"/>
      <c r="I495" s="50"/>
      <c r="J495" s="50"/>
      <c r="K495" s="79"/>
      <c r="L495" s="50"/>
      <c r="M495" s="148"/>
    </row>
    <row r="496" spans="2:13" ht="22.5" customHeight="1" thickBot="1">
      <c r="B496" s="212" t="str">
        <f>'Pl Orçamentária'!B141</f>
        <v>10.00</v>
      </c>
      <c r="C496" s="740" t="str">
        <f>VLOOKUP(B496,'Pl Orçamentária'!$B$17:$L$238,4,FALSE)</f>
        <v>DIVERSOS</v>
      </c>
      <c r="D496" s="741"/>
      <c r="E496" s="741"/>
      <c r="F496" s="203"/>
      <c r="G496" s="203"/>
      <c r="H496" s="203"/>
      <c r="I496" s="203"/>
      <c r="J496" s="203"/>
      <c r="K496" s="203"/>
      <c r="L496" s="203"/>
      <c r="M496" s="204"/>
    </row>
    <row r="497" spans="2:13" ht="7.5" customHeight="1">
      <c r="B497" s="78"/>
      <c r="C497" s="51"/>
      <c r="D497" s="51"/>
      <c r="E497" s="78"/>
      <c r="F497" s="50"/>
      <c r="G497" s="50"/>
      <c r="H497" s="50"/>
      <c r="I497" s="50"/>
      <c r="J497" s="50"/>
      <c r="K497" s="50"/>
      <c r="L497" s="50"/>
      <c r="M497" s="50"/>
    </row>
    <row r="498" spans="2:13" ht="36">
      <c r="B498" s="549" t="str">
        <f>'Pl Orçamentária'!B143</f>
        <v>10.1</v>
      </c>
      <c r="C498" s="560" t="str">
        <f>VLOOKUP(B498,'Pl Orçamentária'!$B$17:$L$238,4,FALSE)</f>
        <v>Limpeza da obra</v>
      </c>
      <c r="D498" s="549" t="s">
        <v>33</v>
      </c>
      <c r="E498" s="490" t="s">
        <v>448</v>
      </c>
      <c r="F498" s="576"/>
      <c r="G498" s="576"/>
      <c r="H498" s="576"/>
      <c r="I498" s="576"/>
      <c r="J498" s="549"/>
      <c r="K498" s="359">
        <v>655.3</v>
      </c>
      <c r="L498" s="163"/>
      <c r="M498" s="547">
        <f>SUM(K498:K498)</f>
        <v>655.3</v>
      </c>
    </row>
    <row r="499" spans="2:13" ht="7.5" customHeight="1" thickBot="1">
      <c r="B499" s="53"/>
      <c r="C499" s="52"/>
      <c r="D499" s="51"/>
      <c r="E499" s="49"/>
      <c r="F499" s="50"/>
      <c r="G499" s="50"/>
      <c r="H499" s="79"/>
      <c r="I499" s="50"/>
      <c r="J499" s="50"/>
      <c r="K499" s="79"/>
      <c r="L499" s="50"/>
      <c r="M499" s="148"/>
    </row>
    <row r="500" spans="2:13" ht="22.5" customHeight="1" thickBot="1">
      <c r="B500" s="212" t="str">
        <f>'Pl Orçamentária'!B145</f>
        <v>11.00</v>
      </c>
      <c r="C500" s="740" t="str">
        <f>VLOOKUP(B500,'Pl Orçamentária'!$B$17:$L$238,4,FALSE)</f>
        <v>DEPÓSITO DE GAS GLP E COMPRESSOR/CENTRAL DE RESÍDUOS</v>
      </c>
      <c r="D500" s="741"/>
      <c r="E500" s="741"/>
      <c r="F500" s="203"/>
      <c r="G500" s="203"/>
      <c r="H500" s="203"/>
      <c r="I500" s="203"/>
      <c r="J500" s="203"/>
      <c r="K500" s="203"/>
      <c r="L500" s="203"/>
      <c r="M500" s="204"/>
    </row>
    <row r="501" spans="2:13" ht="7.5" customHeight="1">
      <c r="B501" s="78"/>
      <c r="C501" s="373"/>
      <c r="D501" s="53"/>
      <c r="E501" s="78"/>
      <c r="F501" s="50"/>
      <c r="G501" s="50"/>
      <c r="H501" s="50"/>
      <c r="I501" s="50"/>
      <c r="J501" s="50"/>
      <c r="K501" s="50"/>
      <c r="L501" s="50"/>
      <c r="M501" s="50"/>
    </row>
    <row r="502" spans="2:13" ht="22.5" customHeight="1">
      <c r="B502" s="233" t="str">
        <f>'Pl Orçamentária'!B147</f>
        <v>11.1</v>
      </c>
      <c r="C502" s="234" t="str">
        <f>VLOOKUP(B502,'Pl Orçamentária'!$B$17:$L$238,4,FALSE)</f>
        <v>SERVIÇOS PRELIMINARES</v>
      </c>
      <c r="D502" s="235"/>
      <c r="E502" s="236"/>
      <c r="F502" s="237"/>
      <c r="G502" s="237"/>
      <c r="H502" s="237"/>
      <c r="I502" s="237"/>
      <c r="J502" s="237"/>
      <c r="K502" s="237"/>
      <c r="L502" s="237"/>
      <c r="M502" s="238"/>
    </row>
    <row r="503" spans="2:13" ht="7.5" customHeight="1">
      <c r="B503" s="78"/>
      <c r="C503" s="373"/>
      <c r="D503" s="53"/>
      <c r="E503" s="78"/>
      <c r="F503" s="50"/>
      <c r="G503" s="50"/>
      <c r="H503" s="50"/>
      <c r="I503" s="50"/>
      <c r="J503" s="50"/>
      <c r="K503" s="50"/>
      <c r="L503" s="50"/>
      <c r="M503" s="50"/>
    </row>
    <row r="504" spans="2:13" ht="72">
      <c r="B504" s="561" t="str">
        <f>'Pl Orçamentária'!B149</f>
        <v>11.1.1</v>
      </c>
      <c r="C504" s="560" t="str">
        <f>VLOOKUP(B504,'Pl Orçamentária'!$B$17:$L$238,4,FALSE)</f>
        <v>Locacao convencional de obra, através de gabarito de tabuas corridaspontaletadas, sem reaproveitamento</v>
      </c>
      <c r="D504" s="613" t="s">
        <v>33</v>
      </c>
      <c r="E504" s="214" t="s">
        <v>603</v>
      </c>
      <c r="F504" s="612"/>
      <c r="G504" s="432"/>
      <c r="H504" s="261">
        <v>4.45</v>
      </c>
      <c r="I504" s="359">
        <v>3.5</v>
      </c>
      <c r="J504" s="429"/>
      <c r="K504" s="359">
        <f>H504*I504</f>
        <v>15.575000000000001</v>
      </c>
      <c r="L504" s="614"/>
      <c r="M504" s="439">
        <f>SUM(K504:K504)</f>
        <v>15.575000000000001</v>
      </c>
    </row>
    <row r="505" spans="2:13" ht="7.5" customHeight="1">
      <c r="B505" s="78"/>
      <c r="C505" s="373"/>
      <c r="D505" s="53"/>
      <c r="E505" s="78"/>
      <c r="F505" s="50"/>
      <c r="G505" s="50"/>
      <c r="H505" s="50"/>
      <c r="I505" s="50"/>
      <c r="J505" s="50"/>
      <c r="K505" s="50"/>
      <c r="L505" s="50"/>
      <c r="M505" s="50"/>
    </row>
    <row r="506" spans="2:13" ht="22.5" customHeight="1">
      <c r="B506" s="233" t="str">
        <f>'Pl Orçamentária'!B151</f>
        <v>11.2</v>
      </c>
      <c r="C506" s="234" t="str">
        <f>VLOOKUP(B506,'Pl Orçamentária'!$B$17:$L$238,4,FALSE)</f>
        <v>MOVIMENTO DE TERRA</v>
      </c>
      <c r="D506" s="235"/>
      <c r="E506" s="236"/>
      <c r="F506" s="237"/>
      <c r="G506" s="237"/>
      <c r="H506" s="237"/>
      <c r="I506" s="237"/>
      <c r="J506" s="237"/>
      <c r="K506" s="237">
        <v>657.3</v>
      </c>
      <c r="L506" s="237"/>
      <c r="M506" s="238">
        <f>SUM(K506:K506)</f>
        <v>657.3</v>
      </c>
    </row>
    <row r="507" spans="2:13" ht="7.5" customHeight="1">
      <c r="B507" s="78"/>
      <c r="C507" s="373"/>
      <c r="D507" s="53"/>
      <c r="E507" s="78"/>
      <c r="F507" s="50"/>
      <c r="G507" s="50"/>
      <c r="H507" s="50"/>
      <c r="I507" s="50"/>
      <c r="J507" s="50"/>
      <c r="K507" s="50"/>
      <c r="L507" s="50"/>
      <c r="M507" s="50"/>
    </row>
    <row r="508" spans="2:13" ht="24.75" customHeight="1">
      <c r="B508" s="726" t="str">
        <f>'Pl Orçamentária'!B153</f>
        <v>11.2.1</v>
      </c>
      <c r="C508" s="729" t="str">
        <f>VLOOKUP(B508,'Pl Orçamentária'!$B$17:$L$347,4,FALSE)</f>
        <v>Escavacao manual de vala em  material de 1a categoria ate 1,5m excluindoesgotamento / escoramento</v>
      </c>
      <c r="D508" s="726" t="s">
        <v>54</v>
      </c>
      <c r="E508" s="467" t="s">
        <v>603</v>
      </c>
      <c r="F508" s="372"/>
      <c r="G508" s="264"/>
      <c r="H508" s="328"/>
      <c r="I508" s="225"/>
      <c r="J508" s="328"/>
      <c r="K508" s="225"/>
      <c r="L508" s="262"/>
      <c r="M508" s="732">
        <f>SUM(L508:L517)</f>
        <v>7.779000000000002</v>
      </c>
    </row>
    <row r="509" spans="2:13" ht="24.75" customHeight="1">
      <c r="B509" s="727"/>
      <c r="C509" s="730"/>
      <c r="D509" s="727"/>
      <c r="E509" s="352" t="s">
        <v>432</v>
      </c>
      <c r="F509" s="367"/>
      <c r="G509" s="369"/>
      <c r="H509" s="46">
        <v>4.45</v>
      </c>
      <c r="I509" s="333">
        <v>0.4</v>
      </c>
      <c r="J509" s="46">
        <v>0.6</v>
      </c>
      <c r="K509" s="333"/>
      <c r="L509" s="369">
        <f aca="true" t="shared" si="10" ref="L509:L516">H509*I509*J509</f>
        <v>1.068</v>
      </c>
      <c r="M509" s="733"/>
    </row>
    <row r="510" spans="2:13" ht="24.75" customHeight="1">
      <c r="B510" s="727"/>
      <c r="C510" s="730"/>
      <c r="D510" s="727"/>
      <c r="E510" s="352" t="s">
        <v>433</v>
      </c>
      <c r="F510" s="367"/>
      <c r="G510" s="369"/>
      <c r="H510" s="46">
        <v>4.45</v>
      </c>
      <c r="I510" s="333">
        <v>0.4</v>
      </c>
      <c r="J510" s="46">
        <v>0.6</v>
      </c>
      <c r="K510" s="333"/>
      <c r="L510" s="369">
        <f t="shared" si="10"/>
        <v>1.068</v>
      </c>
      <c r="M510" s="733"/>
    </row>
    <row r="511" spans="2:13" ht="24.75" customHeight="1">
      <c r="B511" s="727"/>
      <c r="C511" s="730"/>
      <c r="D511" s="727"/>
      <c r="E511" s="352" t="s">
        <v>434</v>
      </c>
      <c r="F511" s="367"/>
      <c r="G511" s="369"/>
      <c r="H511" s="46">
        <v>4.45</v>
      </c>
      <c r="I511" s="333">
        <v>0.4</v>
      </c>
      <c r="J511" s="46">
        <v>0.6</v>
      </c>
      <c r="K511" s="333"/>
      <c r="L511" s="369">
        <f t="shared" si="10"/>
        <v>1.068</v>
      </c>
      <c r="M511" s="733"/>
    </row>
    <row r="512" spans="2:13" ht="24.75" customHeight="1">
      <c r="B512" s="727"/>
      <c r="C512" s="730"/>
      <c r="D512" s="727"/>
      <c r="E512" s="352" t="s">
        <v>235</v>
      </c>
      <c r="F512" s="367"/>
      <c r="G512" s="369"/>
      <c r="H512" s="46">
        <v>3.5</v>
      </c>
      <c r="I512" s="333">
        <v>0.4</v>
      </c>
      <c r="J512" s="46">
        <v>0.6</v>
      </c>
      <c r="K512" s="333"/>
      <c r="L512" s="369">
        <f t="shared" si="10"/>
        <v>0.8400000000000001</v>
      </c>
      <c r="M512" s="733"/>
    </row>
    <row r="513" spans="2:13" ht="24.75" customHeight="1">
      <c r="B513" s="727"/>
      <c r="C513" s="730"/>
      <c r="D513" s="727"/>
      <c r="E513" s="352" t="s">
        <v>236</v>
      </c>
      <c r="F513" s="367"/>
      <c r="G513" s="369"/>
      <c r="H513" s="46">
        <v>2</v>
      </c>
      <c r="I513" s="333">
        <v>0.4</v>
      </c>
      <c r="J513" s="46">
        <v>0.6</v>
      </c>
      <c r="K513" s="333"/>
      <c r="L513" s="369">
        <f t="shared" si="10"/>
        <v>0.48</v>
      </c>
      <c r="M513" s="733"/>
    </row>
    <row r="514" spans="2:13" ht="24.75" customHeight="1">
      <c r="B514" s="727"/>
      <c r="C514" s="730"/>
      <c r="D514" s="727"/>
      <c r="E514" s="352" t="s">
        <v>436</v>
      </c>
      <c r="F514" s="367"/>
      <c r="G514" s="369"/>
      <c r="H514" s="46">
        <v>3.5</v>
      </c>
      <c r="I514" s="333">
        <v>0.4</v>
      </c>
      <c r="J514" s="46">
        <v>0.6</v>
      </c>
      <c r="K514" s="333"/>
      <c r="L514" s="369">
        <f t="shared" si="10"/>
        <v>0.8400000000000001</v>
      </c>
      <c r="M514" s="733"/>
    </row>
    <row r="515" spans="2:13" ht="24.75" customHeight="1">
      <c r="B515" s="727"/>
      <c r="C515" s="730"/>
      <c r="D515" s="727"/>
      <c r="E515" s="352" t="s">
        <v>604</v>
      </c>
      <c r="F515" s="367"/>
      <c r="G515" s="369"/>
      <c r="H515" s="46">
        <v>13.45</v>
      </c>
      <c r="I515" s="333">
        <v>0.2</v>
      </c>
      <c r="J515" s="46">
        <v>0.3</v>
      </c>
      <c r="K515" s="333"/>
      <c r="L515" s="369">
        <f t="shared" si="10"/>
        <v>0.8069999999999999</v>
      </c>
      <c r="M515" s="733"/>
    </row>
    <row r="516" spans="2:13" ht="24.75" customHeight="1">
      <c r="B516" s="727"/>
      <c r="C516" s="730"/>
      <c r="D516" s="727"/>
      <c r="E516" s="352" t="s">
        <v>605</v>
      </c>
      <c r="F516" s="367"/>
      <c r="G516" s="369"/>
      <c r="H516" s="46">
        <v>5.2</v>
      </c>
      <c r="I516" s="333">
        <v>0.2</v>
      </c>
      <c r="J516" s="46">
        <v>0.3</v>
      </c>
      <c r="K516" s="333"/>
      <c r="L516" s="369">
        <f t="shared" si="10"/>
        <v>0.312</v>
      </c>
      <c r="M516" s="733"/>
    </row>
    <row r="517" spans="2:13" ht="24.75" customHeight="1">
      <c r="B517" s="727"/>
      <c r="C517" s="730"/>
      <c r="D517" s="727"/>
      <c r="E517" s="344" t="s">
        <v>606</v>
      </c>
      <c r="F517" s="368">
        <v>6</v>
      </c>
      <c r="G517" s="370"/>
      <c r="H517" s="329">
        <v>0.6</v>
      </c>
      <c r="I517" s="224">
        <v>0.6</v>
      </c>
      <c r="J517" s="329">
        <v>0.6</v>
      </c>
      <c r="K517" s="224"/>
      <c r="L517" s="370">
        <f>F517*H517*I517*J517</f>
        <v>1.2959999999999998</v>
      </c>
      <c r="M517" s="733"/>
    </row>
    <row r="518" spans="2:13" ht="24.75" customHeight="1">
      <c r="B518" s="726" t="str">
        <f>'Pl Orçamentária'!B154</f>
        <v>11.2.2</v>
      </c>
      <c r="C518" s="729" t="str">
        <f>VLOOKUP(B518,'Pl Orçamentária'!$B$17:$L$347,4,FALSE)</f>
        <v>Aterro apiloado (manual) com camadas de 20cm, com empréstimo</v>
      </c>
      <c r="D518" s="726" t="s">
        <v>54</v>
      </c>
      <c r="E518" s="343" t="s">
        <v>603</v>
      </c>
      <c r="F518" s="372"/>
      <c r="G518" s="264"/>
      <c r="H518" s="328">
        <v>4.45</v>
      </c>
      <c r="I518" s="225">
        <v>3.5</v>
      </c>
      <c r="J518" s="328">
        <v>0.3</v>
      </c>
      <c r="K518" s="225"/>
      <c r="L518" s="264">
        <f>H518*I518*J518</f>
        <v>4.6725</v>
      </c>
      <c r="M518" s="732">
        <f>SUM(L518:L520)</f>
        <v>6.7375</v>
      </c>
    </row>
    <row r="519" spans="2:13" ht="24.75" customHeight="1">
      <c r="B519" s="727"/>
      <c r="C519" s="730"/>
      <c r="D519" s="727"/>
      <c r="E519" s="352" t="s">
        <v>607</v>
      </c>
      <c r="F519" s="367"/>
      <c r="G519" s="369"/>
      <c r="H519" s="46">
        <v>13.45</v>
      </c>
      <c r="I519" s="333">
        <v>0.5</v>
      </c>
      <c r="J519" s="46">
        <v>0.2</v>
      </c>
      <c r="K519" s="333"/>
      <c r="L519" s="369">
        <f>H519*I519*J519</f>
        <v>1.345</v>
      </c>
      <c r="M519" s="733"/>
    </row>
    <row r="520" spans="2:13" ht="24.75" customHeight="1">
      <c r="B520" s="728"/>
      <c r="C520" s="731"/>
      <c r="D520" s="728"/>
      <c r="E520" s="344" t="s">
        <v>605</v>
      </c>
      <c r="F520" s="368">
        <v>2</v>
      </c>
      <c r="G520" s="370"/>
      <c r="H520" s="329">
        <v>1.2</v>
      </c>
      <c r="I520" s="224"/>
      <c r="J520" s="329"/>
      <c r="K520" s="224">
        <v>0.3</v>
      </c>
      <c r="L520" s="370">
        <f>F520*H520*K520</f>
        <v>0.72</v>
      </c>
      <c r="M520" s="734"/>
    </row>
    <row r="521" spans="2:13" ht="24.75" customHeight="1">
      <c r="B521" s="726" t="str">
        <f>'Pl Orçamentária'!B155</f>
        <v>11.2.3</v>
      </c>
      <c r="C521" s="729" t="str">
        <f>VLOOKUP(B521,'Pl Orçamentária'!$B$17:$L$347,4,FALSE)</f>
        <v>Apiloamento de fundo e vala</v>
      </c>
      <c r="D521" s="726" t="s">
        <v>28</v>
      </c>
      <c r="E521" s="468" t="s">
        <v>603</v>
      </c>
      <c r="F521" s="367"/>
      <c r="G521" s="369"/>
      <c r="H521" s="46"/>
      <c r="I521" s="333"/>
      <c r="J521" s="46"/>
      <c r="K521" s="333"/>
      <c r="L521" s="328"/>
      <c r="M521" s="732">
        <f>SUM(K521:K529)</f>
        <v>12.670000000000002</v>
      </c>
    </row>
    <row r="522" spans="2:13" ht="24.75" customHeight="1">
      <c r="B522" s="727"/>
      <c r="C522" s="730"/>
      <c r="D522" s="727"/>
      <c r="E522" s="352" t="s">
        <v>432</v>
      </c>
      <c r="F522" s="367"/>
      <c r="G522" s="369"/>
      <c r="H522" s="46">
        <v>4.45</v>
      </c>
      <c r="I522" s="333">
        <v>0.4</v>
      </c>
      <c r="J522" s="46"/>
      <c r="K522" s="333">
        <f aca="true" t="shared" si="11" ref="K522:K529">H522*I522</f>
        <v>1.7800000000000002</v>
      </c>
      <c r="L522" s="46"/>
      <c r="M522" s="733"/>
    </row>
    <row r="523" spans="2:13" ht="24.75" customHeight="1">
      <c r="B523" s="727"/>
      <c r="C523" s="730"/>
      <c r="D523" s="727"/>
      <c r="E523" s="352" t="s">
        <v>433</v>
      </c>
      <c r="F523" s="367"/>
      <c r="G523" s="369"/>
      <c r="H523" s="46">
        <v>4.45</v>
      </c>
      <c r="I523" s="333">
        <v>0.4</v>
      </c>
      <c r="J523" s="46"/>
      <c r="K523" s="333">
        <f t="shared" si="11"/>
        <v>1.7800000000000002</v>
      </c>
      <c r="L523" s="46"/>
      <c r="M523" s="733"/>
    </row>
    <row r="524" spans="2:13" ht="24.75" customHeight="1">
      <c r="B524" s="727"/>
      <c r="C524" s="730"/>
      <c r="D524" s="727"/>
      <c r="E524" s="352" t="s">
        <v>434</v>
      </c>
      <c r="F524" s="367"/>
      <c r="G524" s="369"/>
      <c r="H524" s="46">
        <v>4.45</v>
      </c>
      <c r="I524" s="333">
        <v>0.4</v>
      </c>
      <c r="J524" s="46"/>
      <c r="K524" s="333">
        <f t="shared" si="11"/>
        <v>1.7800000000000002</v>
      </c>
      <c r="L524" s="46"/>
      <c r="M524" s="733"/>
    </row>
    <row r="525" spans="2:13" ht="24.75" customHeight="1">
      <c r="B525" s="727"/>
      <c r="C525" s="730"/>
      <c r="D525" s="727"/>
      <c r="E525" s="352" t="s">
        <v>235</v>
      </c>
      <c r="F525" s="367"/>
      <c r="G525" s="369"/>
      <c r="H525" s="46">
        <v>3.5</v>
      </c>
      <c r="I525" s="333">
        <v>0.4</v>
      </c>
      <c r="J525" s="46"/>
      <c r="K525" s="333">
        <f t="shared" si="11"/>
        <v>1.4000000000000001</v>
      </c>
      <c r="L525" s="46"/>
      <c r="M525" s="733"/>
    </row>
    <row r="526" spans="2:13" ht="24.75" customHeight="1">
      <c r="B526" s="727"/>
      <c r="C526" s="730"/>
      <c r="D526" s="727"/>
      <c r="E526" s="352" t="s">
        <v>236</v>
      </c>
      <c r="F526" s="367"/>
      <c r="G526" s="369"/>
      <c r="H526" s="46">
        <v>2</v>
      </c>
      <c r="I526" s="333">
        <v>0.4</v>
      </c>
      <c r="J526" s="46"/>
      <c r="K526" s="333">
        <f t="shared" si="11"/>
        <v>0.8</v>
      </c>
      <c r="L526" s="46"/>
      <c r="M526" s="733"/>
    </row>
    <row r="527" spans="2:13" ht="24.75" customHeight="1">
      <c r="B527" s="727"/>
      <c r="C527" s="730"/>
      <c r="D527" s="727"/>
      <c r="E527" s="352" t="s">
        <v>436</v>
      </c>
      <c r="F527" s="367"/>
      <c r="G527" s="369"/>
      <c r="H527" s="46">
        <v>3.5</v>
      </c>
      <c r="I527" s="333">
        <v>0.4</v>
      </c>
      <c r="J527" s="46"/>
      <c r="K527" s="333">
        <f t="shared" si="11"/>
        <v>1.4000000000000001</v>
      </c>
      <c r="L527" s="46"/>
      <c r="M527" s="733"/>
    </row>
    <row r="528" spans="2:13" ht="24.75" customHeight="1">
      <c r="B528" s="727"/>
      <c r="C528" s="730"/>
      <c r="D528" s="727"/>
      <c r="E528" s="352" t="s">
        <v>604</v>
      </c>
      <c r="F528" s="367"/>
      <c r="G528" s="369"/>
      <c r="H528" s="46">
        <v>13.45</v>
      </c>
      <c r="I528" s="333">
        <v>0.2</v>
      </c>
      <c r="J528" s="46"/>
      <c r="K528" s="333">
        <f t="shared" si="11"/>
        <v>2.69</v>
      </c>
      <c r="L528" s="46"/>
      <c r="M528" s="733"/>
    </row>
    <row r="529" spans="2:13" ht="24.75" customHeight="1">
      <c r="B529" s="727"/>
      <c r="C529" s="730"/>
      <c r="D529" s="727"/>
      <c r="E529" s="352" t="s">
        <v>605</v>
      </c>
      <c r="F529" s="367"/>
      <c r="G529" s="369"/>
      <c r="H529" s="46">
        <v>5.2</v>
      </c>
      <c r="I529" s="333">
        <v>0.2</v>
      </c>
      <c r="J529" s="46"/>
      <c r="K529" s="333">
        <f t="shared" si="11"/>
        <v>1.04</v>
      </c>
      <c r="L529" s="46"/>
      <c r="M529" s="733"/>
    </row>
    <row r="530" spans="2:13" ht="24.75" customHeight="1">
      <c r="B530" s="726" t="str">
        <f>'Pl Orçamentária'!B156</f>
        <v>11.2.4</v>
      </c>
      <c r="C530" s="729" t="str">
        <f>VLOOKUP(B530,'Pl Orçamentária'!$B$17:$L$347,4,FALSE)</f>
        <v>Carga manual de entulho em caminhão basculante 6 m³</v>
      </c>
      <c r="D530" s="726" t="s">
        <v>54</v>
      </c>
      <c r="E530" s="467" t="s">
        <v>603</v>
      </c>
      <c r="F530" s="372"/>
      <c r="G530" s="264"/>
      <c r="H530" s="328"/>
      <c r="I530" s="225"/>
      <c r="J530" s="328"/>
      <c r="K530" s="225"/>
      <c r="L530" s="262"/>
      <c r="M530" s="732">
        <f>SUM(L530:L539)*1.5</f>
        <v>11.308500000000002</v>
      </c>
    </row>
    <row r="531" spans="2:13" ht="24.75" customHeight="1">
      <c r="B531" s="727"/>
      <c r="C531" s="730"/>
      <c r="D531" s="727"/>
      <c r="E531" s="352" t="s">
        <v>432</v>
      </c>
      <c r="F531" s="367"/>
      <c r="G531" s="369"/>
      <c r="H531" s="46">
        <v>4.45</v>
      </c>
      <c r="I531" s="333">
        <v>0.4</v>
      </c>
      <c r="J531" s="46">
        <v>0.6</v>
      </c>
      <c r="K531" s="333"/>
      <c r="L531" s="369">
        <f aca="true" t="shared" si="12" ref="L531:L538">H531*I531*J531</f>
        <v>1.068</v>
      </c>
      <c r="M531" s="733"/>
    </row>
    <row r="532" spans="2:13" ht="24.75" customHeight="1">
      <c r="B532" s="727"/>
      <c r="C532" s="730"/>
      <c r="D532" s="727"/>
      <c r="E532" s="352" t="s">
        <v>433</v>
      </c>
      <c r="F532" s="367"/>
      <c r="G532" s="369"/>
      <c r="H532" s="46">
        <v>4.45</v>
      </c>
      <c r="I532" s="333">
        <v>0.4</v>
      </c>
      <c r="J532" s="46">
        <v>0.6</v>
      </c>
      <c r="K532" s="333"/>
      <c r="L532" s="369">
        <f t="shared" si="12"/>
        <v>1.068</v>
      </c>
      <c r="M532" s="733"/>
    </row>
    <row r="533" spans="2:13" ht="24.75" customHeight="1">
      <c r="B533" s="727"/>
      <c r="C533" s="730"/>
      <c r="D533" s="727"/>
      <c r="E533" s="352" t="s">
        <v>434</v>
      </c>
      <c r="F533" s="367"/>
      <c r="G533" s="369"/>
      <c r="H533" s="46">
        <v>4.45</v>
      </c>
      <c r="I533" s="333">
        <v>0.4</v>
      </c>
      <c r="J533" s="46">
        <v>0.6</v>
      </c>
      <c r="K533" s="333"/>
      <c r="L533" s="369">
        <f t="shared" si="12"/>
        <v>1.068</v>
      </c>
      <c r="M533" s="733"/>
    </row>
    <row r="534" spans="2:13" ht="24.75" customHeight="1">
      <c r="B534" s="727"/>
      <c r="C534" s="730"/>
      <c r="D534" s="727"/>
      <c r="E534" s="352" t="s">
        <v>235</v>
      </c>
      <c r="F534" s="367"/>
      <c r="G534" s="369"/>
      <c r="H534" s="46">
        <v>3.5</v>
      </c>
      <c r="I534" s="333">
        <v>0.4</v>
      </c>
      <c r="J534" s="46">
        <v>0.6</v>
      </c>
      <c r="K534" s="333"/>
      <c r="L534" s="369">
        <f t="shared" si="12"/>
        <v>0.8400000000000001</v>
      </c>
      <c r="M534" s="733"/>
    </row>
    <row r="535" spans="2:13" ht="24.75" customHeight="1">
      <c r="B535" s="727"/>
      <c r="C535" s="730"/>
      <c r="D535" s="727"/>
      <c r="E535" s="352" t="s">
        <v>236</v>
      </c>
      <c r="F535" s="367"/>
      <c r="G535" s="369"/>
      <c r="H535" s="46">
        <v>2</v>
      </c>
      <c r="I535" s="333">
        <v>0.4</v>
      </c>
      <c r="J535" s="46">
        <v>0.6</v>
      </c>
      <c r="K535" s="333"/>
      <c r="L535" s="369">
        <f t="shared" si="12"/>
        <v>0.48</v>
      </c>
      <c r="M535" s="733"/>
    </row>
    <row r="536" spans="2:13" ht="24.75" customHeight="1">
      <c r="B536" s="727"/>
      <c r="C536" s="730"/>
      <c r="D536" s="727"/>
      <c r="E536" s="352" t="s">
        <v>436</v>
      </c>
      <c r="F536" s="367"/>
      <c r="G536" s="369"/>
      <c r="H536" s="46">
        <v>2.5</v>
      </c>
      <c r="I536" s="333">
        <v>0.4</v>
      </c>
      <c r="J536" s="46">
        <v>0.6</v>
      </c>
      <c r="K536" s="333"/>
      <c r="L536" s="369">
        <f t="shared" si="12"/>
        <v>0.6</v>
      </c>
      <c r="M536" s="733"/>
    </row>
    <row r="537" spans="2:13" ht="24.75" customHeight="1">
      <c r="B537" s="727"/>
      <c r="C537" s="730"/>
      <c r="D537" s="727"/>
      <c r="E537" s="352" t="s">
        <v>604</v>
      </c>
      <c r="F537" s="367"/>
      <c r="G537" s="369"/>
      <c r="H537" s="46">
        <v>13.45</v>
      </c>
      <c r="I537" s="333">
        <v>0.2</v>
      </c>
      <c r="J537" s="46">
        <v>0.3</v>
      </c>
      <c r="K537" s="333"/>
      <c r="L537" s="369">
        <f t="shared" si="12"/>
        <v>0.8069999999999999</v>
      </c>
      <c r="M537" s="733"/>
    </row>
    <row r="538" spans="2:13" ht="24.75" customHeight="1">
      <c r="B538" s="727"/>
      <c r="C538" s="730"/>
      <c r="D538" s="727"/>
      <c r="E538" s="352" t="s">
        <v>605</v>
      </c>
      <c r="F538" s="367"/>
      <c r="G538" s="369"/>
      <c r="H538" s="46">
        <v>5.2</v>
      </c>
      <c r="I538" s="333">
        <v>0.2</v>
      </c>
      <c r="J538" s="46">
        <v>0.3</v>
      </c>
      <c r="K538" s="333"/>
      <c r="L538" s="369">
        <f t="shared" si="12"/>
        <v>0.312</v>
      </c>
      <c r="M538" s="733"/>
    </row>
    <row r="539" spans="2:13" ht="24.75" customHeight="1">
      <c r="B539" s="727"/>
      <c r="C539" s="730"/>
      <c r="D539" s="727"/>
      <c r="E539" s="344" t="s">
        <v>606</v>
      </c>
      <c r="F539" s="368">
        <v>6</v>
      </c>
      <c r="G539" s="370"/>
      <c r="H539" s="329">
        <v>0.6</v>
      </c>
      <c r="I539" s="224">
        <v>0.6</v>
      </c>
      <c r="J539" s="329">
        <v>0.6</v>
      </c>
      <c r="K539" s="224"/>
      <c r="L539" s="370">
        <f>F539*H539*I539*J539</f>
        <v>1.2959999999999998</v>
      </c>
      <c r="M539" s="733"/>
    </row>
    <row r="540" spans="2:13" ht="54">
      <c r="B540" s="549" t="str">
        <f>'Pl Orçamentária'!B157</f>
        <v>11.2.5</v>
      </c>
      <c r="C540" s="586" t="str">
        <f>VLOOKUP(B540,'Pl Orçamentária'!$B$17:$L$347,4,FALSE)</f>
        <v>Transporte local com caminhão basculante 6 m3, rodovia pavimentada (para distancias superiores a 4 km)</v>
      </c>
      <c r="D540" s="549" t="s">
        <v>251</v>
      </c>
      <c r="E540" s="208"/>
      <c r="F540" s="165"/>
      <c r="G540" s="165"/>
      <c r="H540" s="359">
        <v>5</v>
      </c>
      <c r="I540" s="359"/>
      <c r="J540" s="549"/>
      <c r="K540" s="359"/>
      <c r="L540" s="359">
        <f>M530</f>
        <v>11.308500000000002</v>
      </c>
      <c r="M540" s="439">
        <f>H540*L540</f>
        <v>56.54250000000001</v>
      </c>
    </row>
    <row r="541" spans="2:13" ht="7.5" customHeight="1">
      <c r="B541" s="78"/>
      <c r="C541" s="373"/>
      <c r="D541" s="53"/>
      <c r="E541" s="78"/>
      <c r="F541" s="50"/>
      <c r="G541" s="50"/>
      <c r="H541" s="50"/>
      <c r="I541" s="50"/>
      <c r="J541" s="50"/>
      <c r="K541" s="50"/>
      <c r="L541" s="50"/>
      <c r="M541" s="50"/>
    </row>
    <row r="542" spans="2:13" ht="22.5" customHeight="1">
      <c r="B542" s="233" t="str">
        <f>'Pl Orçamentária'!B159</f>
        <v>11.3</v>
      </c>
      <c r="C542" s="455" t="str">
        <f>VLOOKUP(B542,'Pl Orçamentária'!$B$17:$L$347,4,FALSE)</f>
        <v>INFRA-ESTRUTURA</v>
      </c>
      <c r="D542" s="235"/>
      <c r="E542" s="236"/>
      <c r="F542" s="237"/>
      <c r="G542" s="237"/>
      <c r="H542" s="237"/>
      <c r="I542" s="237"/>
      <c r="J542" s="237"/>
      <c r="K542" s="237"/>
      <c r="L542" s="237"/>
      <c r="M542" s="238"/>
    </row>
    <row r="543" spans="2:13" ht="7.5" customHeight="1">
      <c r="B543" s="78"/>
      <c r="C543" s="373"/>
      <c r="D543" s="53"/>
      <c r="E543" s="78"/>
      <c r="F543" s="50"/>
      <c r="G543" s="50"/>
      <c r="H543" s="50"/>
      <c r="I543" s="50"/>
      <c r="J543" s="50"/>
      <c r="K543" s="50"/>
      <c r="L543" s="50"/>
      <c r="M543" s="50"/>
    </row>
    <row r="544" spans="2:13" ht="24.75" customHeight="1">
      <c r="B544" s="726" t="str">
        <f>'Pl Orçamentária'!B161</f>
        <v>11.3.1</v>
      </c>
      <c r="C544" s="729" t="str">
        <f>VLOOKUP(B544,'Pl Orçamentária'!$B$17:$L$347,4,FALSE)</f>
        <v>Fundação em pedra argamassada, argamassa cimento/areia 1:4</v>
      </c>
      <c r="D544" s="726" t="s">
        <v>54</v>
      </c>
      <c r="E544" s="467" t="s">
        <v>603</v>
      </c>
      <c r="F544" s="372"/>
      <c r="G544" s="264"/>
      <c r="H544" s="328"/>
      <c r="I544" s="225"/>
      <c r="J544" s="328"/>
      <c r="K544" s="225"/>
      <c r="L544" s="262"/>
      <c r="M544" s="732">
        <f>SUM(L544:L552)</f>
        <v>6.483000000000001</v>
      </c>
    </row>
    <row r="545" spans="2:13" ht="24.75" customHeight="1">
      <c r="B545" s="727"/>
      <c r="C545" s="730"/>
      <c r="D545" s="727"/>
      <c r="E545" s="352" t="s">
        <v>432</v>
      </c>
      <c r="F545" s="367"/>
      <c r="G545" s="369"/>
      <c r="H545" s="46">
        <v>4.45</v>
      </c>
      <c r="I545" s="333">
        <v>0.4</v>
      </c>
      <c r="J545" s="46">
        <v>0.6</v>
      </c>
      <c r="K545" s="333"/>
      <c r="L545" s="369">
        <f aca="true" t="shared" si="13" ref="L545:L552">H545*I545*J545</f>
        <v>1.068</v>
      </c>
      <c r="M545" s="733"/>
    </row>
    <row r="546" spans="2:13" ht="24.75" customHeight="1">
      <c r="B546" s="727"/>
      <c r="C546" s="730"/>
      <c r="D546" s="727"/>
      <c r="E546" s="352" t="s">
        <v>433</v>
      </c>
      <c r="F546" s="367"/>
      <c r="G546" s="369"/>
      <c r="H546" s="46">
        <v>4.45</v>
      </c>
      <c r="I546" s="333">
        <v>0.4</v>
      </c>
      <c r="J546" s="46">
        <v>0.6</v>
      </c>
      <c r="K546" s="333"/>
      <c r="L546" s="369">
        <f t="shared" si="13"/>
        <v>1.068</v>
      </c>
      <c r="M546" s="733"/>
    </row>
    <row r="547" spans="2:13" ht="24.75" customHeight="1">
      <c r="B547" s="727"/>
      <c r="C547" s="730"/>
      <c r="D547" s="727"/>
      <c r="E547" s="352" t="s">
        <v>434</v>
      </c>
      <c r="F547" s="367"/>
      <c r="G547" s="369"/>
      <c r="H547" s="46">
        <v>4.45</v>
      </c>
      <c r="I547" s="333">
        <v>0.4</v>
      </c>
      <c r="J547" s="46">
        <v>0.6</v>
      </c>
      <c r="K547" s="333"/>
      <c r="L547" s="369">
        <f t="shared" si="13"/>
        <v>1.068</v>
      </c>
      <c r="M547" s="733"/>
    </row>
    <row r="548" spans="2:13" ht="24.75" customHeight="1">
      <c r="B548" s="727"/>
      <c r="C548" s="730"/>
      <c r="D548" s="727"/>
      <c r="E548" s="352" t="s">
        <v>235</v>
      </c>
      <c r="F548" s="367"/>
      <c r="G548" s="369"/>
      <c r="H548" s="46">
        <v>3.5</v>
      </c>
      <c r="I548" s="333">
        <v>0.4</v>
      </c>
      <c r="J548" s="46">
        <v>0.6</v>
      </c>
      <c r="K548" s="333"/>
      <c r="L548" s="369">
        <f t="shared" si="13"/>
        <v>0.8400000000000001</v>
      </c>
      <c r="M548" s="733"/>
    </row>
    <row r="549" spans="2:13" ht="24.75" customHeight="1">
      <c r="B549" s="727"/>
      <c r="C549" s="730"/>
      <c r="D549" s="727"/>
      <c r="E549" s="352" t="s">
        <v>236</v>
      </c>
      <c r="F549" s="367"/>
      <c r="G549" s="369"/>
      <c r="H549" s="46">
        <v>2</v>
      </c>
      <c r="I549" s="333">
        <v>0.4</v>
      </c>
      <c r="J549" s="46">
        <v>0.6</v>
      </c>
      <c r="K549" s="333"/>
      <c r="L549" s="369">
        <f t="shared" si="13"/>
        <v>0.48</v>
      </c>
      <c r="M549" s="733"/>
    </row>
    <row r="550" spans="2:13" ht="24.75" customHeight="1">
      <c r="B550" s="727"/>
      <c r="C550" s="730"/>
      <c r="D550" s="727"/>
      <c r="E550" s="352" t="s">
        <v>436</v>
      </c>
      <c r="F550" s="367"/>
      <c r="G550" s="369"/>
      <c r="H550" s="46">
        <v>3.5</v>
      </c>
      <c r="I550" s="333">
        <v>0.4</v>
      </c>
      <c r="J550" s="46">
        <v>0.6</v>
      </c>
      <c r="K550" s="333"/>
      <c r="L550" s="369">
        <f t="shared" si="13"/>
        <v>0.8400000000000001</v>
      </c>
      <c r="M550" s="733"/>
    </row>
    <row r="551" spans="2:13" ht="24.75" customHeight="1">
      <c r="B551" s="727"/>
      <c r="C551" s="730"/>
      <c r="D551" s="727"/>
      <c r="E551" s="352" t="s">
        <v>604</v>
      </c>
      <c r="F551" s="367"/>
      <c r="G551" s="369"/>
      <c r="H551" s="46">
        <v>13.45</v>
      </c>
      <c r="I551" s="333">
        <v>0.2</v>
      </c>
      <c r="J551" s="46">
        <v>0.3</v>
      </c>
      <c r="K551" s="333"/>
      <c r="L551" s="369">
        <f t="shared" si="13"/>
        <v>0.8069999999999999</v>
      </c>
      <c r="M551" s="733"/>
    </row>
    <row r="552" spans="2:13" ht="24.75" customHeight="1">
      <c r="B552" s="727"/>
      <c r="C552" s="730"/>
      <c r="D552" s="727"/>
      <c r="E552" s="344" t="s">
        <v>605</v>
      </c>
      <c r="F552" s="368"/>
      <c r="G552" s="370"/>
      <c r="H552" s="329">
        <v>5.2</v>
      </c>
      <c r="I552" s="224">
        <v>0.2</v>
      </c>
      <c r="J552" s="329">
        <v>0.3</v>
      </c>
      <c r="K552" s="224"/>
      <c r="L552" s="370">
        <f t="shared" si="13"/>
        <v>0.312</v>
      </c>
      <c r="M552" s="733"/>
    </row>
    <row r="553" spans="2:13" ht="24.75" customHeight="1">
      <c r="B553" s="726" t="str">
        <f>'Pl Orçamentária'!B162</f>
        <v>11.3.2</v>
      </c>
      <c r="C553" s="729" t="str">
        <f>VLOOKUP(B553,'Pl Orçamentária'!$B$17:$L$347,4,FALSE)</f>
        <v>Alvenaria embasamento tijolo cerâmico furado 10x20x20 cm</v>
      </c>
      <c r="D553" s="726" t="s">
        <v>54</v>
      </c>
      <c r="E553" s="467" t="s">
        <v>603</v>
      </c>
      <c r="F553" s="372"/>
      <c r="G553" s="264"/>
      <c r="H553" s="328"/>
      <c r="I553" s="264">
        <v>0.2</v>
      </c>
      <c r="J553" s="264"/>
      <c r="K553" s="328"/>
      <c r="L553" s="264">
        <f aca="true" t="shared" si="14" ref="L553:L561">H553*I553*J553</f>
        <v>0</v>
      </c>
      <c r="M553" s="732">
        <f>SUM(L553:L561)</f>
        <v>1.907</v>
      </c>
    </row>
    <row r="554" spans="2:13" ht="24.75" customHeight="1">
      <c r="B554" s="727"/>
      <c r="C554" s="730"/>
      <c r="D554" s="727"/>
      <c r="E554" s="352" t="s">
        <v>432</v>
      </c>
      <c r="F554" s="367"/>
      <c r="G554" s="369"/>
      <c r="H554" s="46">
        <v>4.45</v>
      </c>
      <c r="I554" s="369">
        <v>0.2</v>
      </c>
      <c r="J554" s="369">
        <v>0.3</v>
      </c>
      <c r="K554" s="46"/>
      <c r="L554" s="369">
        <f t="shared" si="14"/>
        <v>0.267</v>
      </c>
      <c r="M554" s="733"/>
    </row>
    <row r="555" spans="2:13" ht="24.75" customHeight="1">
      <c r="B555" s="727"/>
      <c r="C555" s="730"/>
      <c r="D555" s="727"/>
      <c r="E555" s="352" t="s">
        <v>433</v>
      </c>
      <c r="F555" s="367"/>
      <c r="G555" s="369"/>
      <c r="H555" s="46">
        <v>4.45</v>
      </c>
      <c r="I555" s="369">
        <v>0.2</v>
      </c>
      <c r="J555" s="369">
        <v>0.3</v>
      </c>
      <c r="K555" s="46"/>
      <c r="L555" s="369">
        <f t="shared" si="14"/>
        <v>0.267</v>
      </c>
      <c r="M555" s="733"/>
    </row>
    <row r="556" spans="2:13" ht="24.75" customHeight="1">
      <c r="B556" s="727"/>
      <c r="C556" s="730"/>
      <c r="D556" s="727"/>
      <c r="E556" s="352" t="s">
        <v>434</v>
      </c>
      <c r="F556" s="367"/>
      <c r="G556" s="369"/>
      <c r="H556" s="46">
        <v>4.45</v>
      </c>
      <c r="I556" s="369">
        <v>0.2</v>
      </c>
      <c r="J556" s="369">
        <v>0.3</v>
      </c>
      <c r="K556" s="46"/>
      <c r="L556" s="369">
        <f t="shared" si="14"/>
        <v>0.267</v>
      </c>
      <c r="M556" s="733"/>
    </row>
    <row r="557" spans="2:13" ht="24.75" customHeight="1">
      <c r="B557" s="727"/>
      <c r="C557" s="730"/>
      <c r="D557" s="727"/>
      <c r="E557" s="352" t="s">
        <v>235</v>
      </c>
      <c r="F557" s="367"/>
      <c r="G557" s="369"/>
      <c r="H557" s="46">
        <v>3.5</v>
      </c>
      <c r="I557" s="369">
        <v>0.2</v>
      </c>
      <c r="J557" s="369">
        <v>0.2</v>
      </c>
      <c r="K557" s="46"/>
      <c r="L557" s="369">
        <f t="shared" si="14"/>
        <v>0.14</v>
      </c>
      <c r="M557" s="733"/>
    </row>
    <row r="558" spans="2:13" ht="24.75" customHeight="1">
      <c r="B558" s="727"/>
      <c r="C558" s="730"/>
      <c r="D558" s="727"/>
      <c r="E558" s="352" t="s">
        <v>236</v>
      </c>
      <c r="F558" s="367"/>
      <c r="G558" s="369"/>
      <c r="H558" s="46">
        <v>2</v>
      </c>
      <c r="I558" s="369">
        <v>0.2</v>
      </c>
      <c r="J558" s="369">
        <v>0.2</v>
      </c>
      <c r="K558" s="46"/>
      <c r="L558" s="369">
        <f t="shared" si="14"/>
        <v>0.08000000000000002</v>
      </c>
      <c r="M558" s="733"/>
    </row>
    <row r="559" spans="2:13" ht="24.75" customHeight="1">
      <c r="B559" s="727"/>
      <c r="C559" s="730"/>
      <c r="D559" s="727"/>
      <c r="E559" s="352" t="s">
        <v>436</v>
      </c>
      <c r="F559" s="367"/>
      <c r="G559" s="369"/>
      <c r="H559" s="46">
        <v>3.5</v>
      </c>
      <c r="I559" s="369">
        <v>0.2</v>
      </c>
      <c r="J559" s="369">
        <v>0.2</v>
      </c>
      <c r="K559" s="46"/>
      <c r="L559" s="369">
        <f t="shared" si="14"/>
        <v>0.14</v>
      </c>
      <c r="M559" s="733"/>
    </row>
    <row r="560" spans="2:13" ht="24.75" customHeight="1">
      <c r="B560" s="727"/>
      <c r="C560" s="730"/>
      <c r="D560" s="727"/>
      <c r="E560" s="352" t="s">
        <v>604</v>
      </c>
      <c r="F560" s="367"/>
      <c r="G560" s="369"/>
      <c r="H560" s="46">
        <v>13.45</v>
      </c>
      <c r="I560" s="369">
        <v>0.2</v>
      </c>
      <c r="J560" s="369">
        <v>0.2</v>
      </c>
      <c r="K560" s="46"/>
      <c r="L560" s="369">
        <f t="shared" si="14"/>
        <v>0.538</v>
      </c>
      <c r="M560" s="733"/>
    </row>
    <row r="561" spans="2:13" ht="24.75" customHeight="1">
      <c r="B561" s="727"/>
      <c r="C561" s="730"/>
      <c r="D561" s="727"/>
      <c r="E561" s="344" t="s">
        <v>605</v>
      </c>
      <c r="F561" s="368"/>
      <c r="G561" s="370"/>
      <c r="H561" s="329">
        <v>5.2</v>
      </c>
      <c r="I561" s="370">
        <v>0.2</v>
      </c>
      <c r="J561" s="370">
        <v>0.2</v>
      </c>
      <c r="K561" s="329"/>
      <c r="L561" s="370">
        <f t="shared" si="14"/>
        <v>0.20800000000000002</v>
      </c>
      <c r="M561" s="733"/>
    </row>
    <row r="562" spans="2:13" ht="36">
      <c r="B562" s="553" t="str">
        <f>'Pl Orçamentária'!B163</f>
        <v>11.3.3</v>
      </c>
      <c r="C562" s="550" t="str">
        <f>VLOOKUP(B562,'Pl Orçamentária'!$B$17:$L$347,4,FALSE)</f>
        <v>Concreto ciclópico para fundação de pilares, 30% de pedra de mão</v>
      </c>
      <c r="D562" s="553" t="s">
        <v>54</v>
      </c>
      <c r="E562" s="344" t="s">
        <v>603</v>
      </c>
      <c r="F562" s="368">
        <v>6</v>
      </c>
      <c r="G562" s="370"/>
      <c r="H562" s="329">
        <v>0.6</v>
      </c>
      <c r="I562" s="370">
        <v>0.6</v>
      </c>
      <c r="J562" s="370">
        <v>0.6</v>
      </c>
      <c r="K562" s="329"/>
      <c r="L562" s="370">
        <f>F562*H562*I562*J562</f>
        <v>1.2959999999999998</v>
      </c>
      <c r="M562" s="546">
        <f>SUM(L562:L562)</f>
        <v>1.2959999999999998</v>
      </c>
    </row>
    <row r="563" spans="2:13" ht="18.75">
      <c r="B563" s="726" t="str">
        <f>'Pl Orçamentária'!B164</f>
        <v>11.3.4</v>
      </c>
      <c r="C563" s="729" t="str">
        <f>VLOOKUP(B563,'Pl Orçamentária'!$B$17:$L$347,4,FALSE)</f>
        <v>Cinta de amarração em concreto armado fck=20mpa </v>
      </c>
      <c r="D563" s="726" t="s">
        <v>54</v>
      </c>
      <c r="E563" s="468" t="s">
        <v>603</v>
      </c>
      <c r="F563" s="367"/>
      <c r="G563" s="369"/>
      <c r="H563" s="46"/>
      <c r="I563" s="369">
        <v>0.2</v>
      </c>
      <c r="J563" s="369">
        <v>0.15</v>
      </c>
      <c r="K563" s="46"/>
      <c r="L563" s="369">
        <f aca="true" t="shared" si="15" ref="L563:L568">H563*I563*J563</f>
        <v>0</v>
      </c>
      <c r="M563" s="732">
        <f>SUM(L563:L568)</f>
        <v>0.537</v>
      </c>
    </row>
    <row r="564" spans="2:13" ht="18">
      <c r="B564" s="727"/>
      <c r="C564" s="730"/>
      <c r="D564" s="727"/>
      <c r="E564" s="352" t="s">
        <v>608</v>
      </c>
      <c r="F564" s="367"/>
      <c r="G564" s="369"/>
      <c r="H564" s="46">
        <v>4.45</v>
      </c>
      <c r="I564" s="369">
        <v>0.2</v>
      </c>
      <c r="J564" s="369">
        <v>0.15</v>
      </c>
      <c r="K564" s="46"/>
      <c r="L564" s="369">
        <f t="shared" si="15"/>
        <v>0.1335</v>
      </c>
      <c r="M564" s="733"/>
    </row>
    <row r="565" spans="2:13" ht="18">
      <c r="B565" s="727"/>
      <c r="C565" s="730"/>
      <c r="D565" s="727"/>
      <c r="E565" s="352" t="s">
        <v>610</v>
      </c>
      <c r="F565" s="367"/>
      <c r="G565" s="369"/>
      <c r="H565" s="46">
        <v>4.45</v>
      </c>
      <c r="I565" s="369">
        <v>0.2</v>
      </c>
      <c r="J565" s="369">
        <v>0.15</v>
      </c>
      <c r="K565" s="46"/>
      <c r="L565" s="369">
        <f t="shared" si="15"/>
        <v>0.1335</v>
      </c>
      <c r="M565" s="733"/>
    </row>
    <row r="566" spans="2:13" ht="18">
      <c r="B566" s="727"/>
      <c r="C566" s="730"/>
      <c r="D566" s="727"/>
      <c r="E566" s="352" t="s">
        <v>609</v>
      </c>
      <c r="F566" s="367"/>
      <c r="G566" s="369"/>
      <c r="H566" s="46">
        <v>3.5</v>
      </c>
      <c r="I566" s="369">
        <v>0.2</v>
      </c>
      <c r="J566" s="369">
        <v>0.15</v>
      </c>
      <c r="K566" s="46"/>
      <c r="L566" s="369">
        <f t="shared" si="15"/>
        <v>0.10500000000000001</v>
      </c>
      <c r="M566" s="733"/>
    </row>
    <row r="567" spans="2:13" ht="18">
      <c r="B567" s="727"/>
      <c r="C567" s="730"/>
      <c r="D567" s="727"/>
      <c r="E567" s="352" t="s">
        <v>611</v>
      </c>
      <c r="F567" s="367"/>
      <c r="G567" s="369"/>
      <c r="H567" s="46">
        <v>2</v>
      </c>
      <c r="I567" s="369">
        <v>0.2</v>
      </c>
      <c r="J567" s="369">
        <v>0.15</v>
      </c>
      <c r="K567" s="46"/>
      <c r="L567" s="369">
        <f t="shared" si="15"/>
        <v>0.06</v>
      </c>
      <c r="M567" s="733"/>
    </row>
    <row r="568" spans="2:13" ht="18">
      <c r="B568" s="727"/>
      <c r="C568" s="730"/>
      <c r="D568" s="727"/>
      <c r="E568" s="352" t="s">
        <v>612</v>
      </c>
      <c r="F568" s="367"/>
      <c r="G568" s="369"/>
      <c r="H568" s="46">
        <v>3.5</v>
      </c>
      <c r="I568" s="369">
        <v>0.2</v>
      </c>
      <c r="J568" s="369">
        <v>0.15</v>
      </c>
      <c r="K568" s="46"/>
      <c r="L568" s="369">
        <f t="shared" si="15"/>
        <v>0.10500000000000001</v>
      </c>
      <c r="M568" s="733"/>
    </row>
    <row r="569" spans="2:13" ht="18">
      <c r="B569" s="726" t="str">
        <f>'Pl Orçamentária'!B165</f>
        <v>11.3.5</v>
      </c>
      <c r="C569" s="729" t="str">
        <f>VLOOKUP(B569,'Pl Orçamentária'!$B$17:$L$347,4,FALSE)</f>
        <v>Impermeabilização de cintas com 2 demãos de tinta asfáltica tipo Neutrol da Vedacit ou simila</v>
      </c>
      <c r="D569" s="726" t="s">
        <v>33</v>
      </c>
      <c r="E569" s="343" t="s">
        <v>613</v>
      </c>
      <c r="F569" s="372"/>
      <c r="G569" s="264"/>
      <c r="H569" s="328">
        <f>SUM(H564:H565)</f>
        <v>8.9</v>
      </c>
      <c r="I569" s="264">
        <f>0.15*2+0.1</f>
        <v>0.4</v>
      </c>
      <c r="J569" s="594"/>
      <c r="K569" s="328">
        <f>H569*I569</f>
        <v>3.5600000000000005</v>
      </c>
      <c r="L569" s="264"/>
      <c r="M569" s="732">
        <f>SUM(K569:K570)</f>
        <v>7.16</v>
      </c>
    </row>
    <row r="570" spans="2:13" ht="18">
      <c r="B570" s="728"/>
      <c r="C570" s="731"/>
      <c r="D570" s="728"/>
      <c r="E570" s="344" t="s">
        <v>614</v>
      </c>
      <c r="F570" s="368"/>
      <c r="G570" s="370"/>
      <c r="H570" s="329">
        <f>SUM(H566:H568)</f>
        <v>9</v>
      </c>
      <c r="I570" s="370">
        <f>0.15*2+0.1</f>
        <v>0.4</v>
      </c>
      <c r="J570" s="589"/>
      <c r="K570" s="329">
        <f>H570*I570</f>
        <v>3.6</v>
      </c>
      <c r="L570" s="370"/>
      <c r="M570" s="734"/>
    </row>
    <row r="571" spans="2:13" ht="54">
      <c r="B571" s="549" t="str">
        <f>'Pl Orçamentária'!B166</f>
        <v>11.3.6</v>
      </c>
      <c r="C571" s="560" t="str">
        <f>VLOOKUP(B571,'Pl Orçamentária'!$B$17:$L$347,4,FALSE)</f>
        <v>Lastro de concreto, preparo mecânico, incluso aditivo impermeabilizante e=6cm</v>
      </c>
      <c r="D571" s="549" t="s">
        <v>54</v>
      </c>
      <c r="E571" s="214" t="s">
        <v>603</v>
      </c>
      <c r="F571" s="612"/>
      <c r="G571" s="432"/>
      <c r="H571" s="261">
        <v>4.45</v>
      </c>
      <c r="I571" s="359">
        <v>3.5</v>
      </c>
      <c r="J571" s="359">
        <v>0.06</v>
      </c>
      <c r="K571" s="359"/>
      <c r="L571" s="359">
        <f>H571*I571*J571</f>
        <v>0.9345</v>
      </c>
      <c r="M571" s="439">
        <f>SUM(L571:L571)</f>
        <v>0.9345</v>
      </c>
    </row>
    <row r="572" spans="2:13" ht="7.5" customHeight="1">
      <c r="B572" s="78"/>
      <c r="C572" s="373"/>
      <c r="D572" s="53"/>
      <c r="E572" s="78"/>
      <c r="F572" s="50"/>
      <c r="G572" s="50"/>
      <c r="H572" s="50"/>
      <c r="I572" s="50"/>
      <c r="J572" s="50"/>
      <c r="K572" s="50"/>
      <c r="L572" s="50"/>
      <c r="M572" s="50"/>
    </row>
    <row r="573" spans="2:13" ht="22.5" customHeight="1">
      <c r="B573" s="233" t="str">
        <f>'Pl Orçamentária'!B168</f>
        <v>11.4</v>
      </c>
      <c r="C573" s="455" t="str">
        <f>VLOOKUP(B573,'Pl Orçamentária'!$B$17:$L$347,4,FALSE)</f>
        <v>SUPERESTRUTURA</v>
      </c>
      <c r="D573" s="235"/>
      <c r="E573" s="236"/>
      <c r="F573" s="237"/>
      <c r="G573" s="237"/>
      <c r="H573" s="237"/>
      <c r="I573" s="237"/>
      <c r="J573" s="237"/>
      <c r="K573" s="237"/>
      <c r="L573" s="237"/>
      <c r="M573" s="238"/>
    </row>
    <row r="574" spans="2:13" ht="7.5" customHeight="1">
      <c r="B574" s="78"/>
      <c r="C574" s="373"/>
      <c r="D574" s="53"/>
      <c r="E574" s="78"/>
      <c r="F574" s="50"/>
      <c r="G574" s="50"/>
      <c r="H574" s="50"/>
      <c r="I574" s="50"/>
      <c r="J574" s="50"/>
      <c r="K574" s="50"/>
      <c r="L574" s="50"/>
      <c r="M574" s="50"/>
    </row>
    <row r="575" spans="2:13" ht="18.75">
      <c r="B575" s="726" t="str">
        <f>'Pl Orçamentária'!B170</f>
        <v>11.4.1</v>
      </c>
      <c r="C575" s="729" t="str">
        <f>VLOOKUP(B575,'Pl Orçamentária'!$B$17:$L$347,4,FALSE)</f>
        <v>Concreto armado para lajes, pilares, vigas e vergas (20 MPA)</v>
      </c>
      <c r="D575" s="726" t="s">
        <v>54</v>
      </c>
      <c r="E575" s="467" t="s">
        <v>606</v>
      </c>
      <c r="F575" s="372"/>
      <c r="G575" s="264"/>
      <c r="H575" s="328"/>
      <c r="I575" s="264"/>
      <c r="J575" s="264"/>
      <c r="K575" s="328"/>
      <c r="L575" s="264"/>
      <c r="M575" s="732">
        <f>SUM(L575:L590)</f>
        <v>1.8968400000000003</v>
      </c>
    </row>
    <row r="576" spans="2:13" ht="18">
      <c r="B576" s="727"/>
      <c r="C576" s="730"/>
      <c r="D576" s="727"/>
      <c r="E576" s="352" t="s">
        <v>603</v>
      </c>
      <c r="F576" s="367">
        <v>6</v>
      </c>
      <c r="G576" s="369"/>
      <c r="H576" s="46">
        <v>0.15</v>
      </c>
      <c r="I576" s="369">
        <v>0.3</v>
      </c>
      <c r="J576" s="369">
        <v>3.75</v>
      </c>
      <c r="K576" s="46"/>
      <c r="L576" s="369">
        <f>F576*H576*I576*J576</f>
        <v>1.0125</v>
      </c>
      <c r="M576" s="733"/>
    </row>
    <row r="577" spans="2:13" ht="18.75">
      <c r="B577" s="727"/>
      <c r="C577" s="730"/>
      <c r="D577" s="727"/>
      <c r="E577" s="468" t="s">
        <v>615</v>
      </c>
      <c r="F577" s="367"/>
      <c r="G577" s="369"/>
      <c r="H577" s="46"/>
      <c r="I577" s="369"/>
      <c r="J577" s="369"/>
      <c r="K577" s="46"/>
      <c r="L577" s="369"/>
      <c r="M577" s="733"/>
    </row>
    <row r="578" spans="2:13" ht="18.75">
      <c r="B578" s="727"/>
      <c r="C578" s="730"/>
      <c r="D578" s="727"/>
      <c r="E578" s="468" t="s">
        <v>603</v>
      </c>
      <c r="F578" s="367"/>
      <c r="G578" s="369"/>
      <c r="H578" s="46"/>
      <c r="I578" s="369"/>
      <c r="J578" s="369"/>
      <c r="K578" s="46"/>
      <c r="L578" s="369"/>
      <c r="M578" s="733"/>
    </row>
    <row r="579" spans="2:13" ht="18">
      <c r="B579" s="727"/>
      <c r="C579" s="730"/>
      <c r="D579" s="727"/>
      <c r="E579" s="352" t="s">
        <v>616</v>
      </c>
      <c r="F579" s="367"/>
      <c r="G579" s="369"/>
      <c r="H579" s="46">
        <v>4.45</v>
      </c>
      <c r="I579" s="369">
        <v>0.1</v>
      </c>
      <c r="J579" s="369">
        <v>0.2</v>
      </c>
      <c r="K579" s="46"/>
      <c r="L579" s="369">
        <f aca="true" t="shared" si="16" ref="L579:L584">H579*I579*J579</f>
        <v>0.08900000000000002</v>
      </c>
      <c r="M579" s="733"/>
    </row>
    <row r="580" spans="2:13" ht="18">
      <c r="B580" s="727"/>
      <c r="C580" s="730"/>
      <c r="D580" s="727"/>
      <c r="E580" s="352" t="s">
        <v>617</v>
      </c>
      <c r="F580" s="367"/>
      <c r="G580" s="369"/>
      <c r="H580" s="46">
        <v>4.45</v>
      </c>
      <c r="I580" s="369">
        <v>0.1</v>
      </c>
      <c r="J580" s="369">
        <v>0.2</v>
      </c>
      <c r="K580" s="46"/>
      <c r="L580" s="369">
        <f t="shared" si="16"/>
        <v>0.08900000000000002</v>
      </c>
      <c r="M580" s="733"/>
    </row>
    <row r="581" spans="2:13" ht="18">
      <c r="B581" s="727"/>
      <c r="C581" s="730"/>
      <c r="D581" s="727"/>
      <c r="E581" s="352" t="s">
        <v>618</v>
      </c>
      <c r="F581" s="367"/>
      <c r="G581" s="369"/>
      <c r="H581" s="46">
        <v>4.45</v>
      </c>
      <c r="I581" s="369">
        <v>0.1</v>
      </c>
      <c r="J581" s="369">
        <v>0.2</v>
      </c>
      <c r="K581" s="46"/>
      <c r="L581" s="369">
        <f t="shared" si="16"/>
        <v>0.08900000000000002</v>
      </c>
      <c r="M581" s="733"/>
    </row>
    <row r="582" spans="2:13" ht="18">
      <c r="B582" s="727"/>
      <c r="C582" s="730"/>
      <c r="D582" s="727"/>
      <c r="E582" s="352" t="s">
        <v>619</v>
      </c>
      <c r="F582" s="367"/>
      <c r="G582" s="369"/>
      <c r="H582" s="46">
        <v>3.5</v>
      </c>
      <c r="I582" s="369">
        <v>0.1</v>
      </c>
      <c r="J582" s="369">
        <v>0.2</v>
      </c>
      <c r="K582" s="46"/>
      <c r="L582" s="369">
        <f t="shared" si="16"/>
        <v>0.07</v>
      </c>
      <c r="M582" s="733"/>
    </row>
    <row r="583" spans="2:13" ht="18">
      <c r="B583" s="727"/>
      <c r="C583" s="730"/>
      <c r="D583" s="727"/>
      <c r="E583" s="352" t="s">
        <v>620</v>
      </c>
      <c r="F583" s="367"/>
      <c r="G583" s="369"/>
      <c r="H583" s="46">
        <v>3.5</v>
      </c>
      <c r="I583" s="369">
        <v>0.1</v>
      </c>
      <c r="J583" s="369">
        <v>0.2</v>
      </c>
      <c r="K583" s="46"/>
      <c r="L583" s="369">
        <f t="shared" si="16"/>
        <v>0.07</v>
      </c>
      <c r="M583" s="733"/>
    </row>
    <row r="584" spans="2:13" ht="18">
      <c r="B584" s="727"/>
      <c r="C584" s="730"/>
      <c r="D584" s="727"/>
      <c r="E584" s="352" t="s">
        <v>621</v>
      </c>
      <c r="F584" s="367"/>
      <c r="G584" s="369"/>
      <c r="H584" s="46">
        <v>3.5</v>
      </c>
      <c r="I584" s="369">
        <v>0.1</v>
      </c>
      <c r="J584" s="369">
        <v>0.2</v>
      </c>
      <c r="K584" s="46"/>
      <c r="L584" s="369">
        <f t="shared" si="16"/>
        <v>0.07</v>
      </c>
      <c r="M584" s="733"/>
    </row>
    <row r="585" spans="2:13" ht="18.75">
      <c r="B585" s="727"/>
      <c r="C585" s="730"/>
      <c r="D585" s="727"/>
      <c r="E585" s="468" t="s">
        <v>622</v>
      </c>
      <c r="F585" s="367"/>
      <c r="G585" s="369"/>
      <c r="H585" s="46"/>
      <c r="I585" s="369"/>
      <c r="J585" s="369"/>
      <c r="K585" s="46"/>
      <c r="L585" s="369"/>
      <c r="M585" s="733"/>
    </row>
    <row r="586" spans="2:13" ht="18">
      <c r="B586" s="727"/>
      <c r="C586" s="730"/>
      <c r="D586" s="727"/>
      <c r="E586" s="352" t="s">
        <v>608</v>
      </c>
      <c r="F586" s="367"/>
      <c r="G586" s="369"/>
      <c r="H586" s="46">
        <v>4.38</v>
      </c>
      <c r="I586" s="369">
        <v>0.1</v>
      </c>
      <c r="J586" s="369">
        <v>0.15</v>
      </c>
      <c r="K586" s="46"/>
      <c r="L586" s="369">
        <f>H586*I586*J586</f>
        <v>0.0657</v>
      </c>
      <c r="M586" s="733"/>
    </row>
    <row r="587" spans="2:13" ht="18">
      <c r="B587" s="727"/>
      <c r="C587" s="730"/>
      <c r="D587" s="727"/>
      <c r="E587" s="352" t="s">
        <v>609</v>
      </c>
      <c r="F587" s="367"/>
      <c r="G587" s="369"/>
      <c r="H587" s="46">
        <v>6.04</v>
      </c>
      <c r="I587" s="369">
        <v>0.2</v>
      </c>
      <c r="J587" s="369">
        <v>0.15</v>
      </c>
      <c r="K587" s="46"/>
      <c r="L587" s="369">
        <f>H587*I587*J587</f>
        <v>0.18120000000000003</v>
      </c>
      <c r="M587" s="733"/>
    </row>
    <row r="588" spans="2:13" ht="18.75">
      <c r="B588" s="727"/>
      <c r="C588" s="730"/>
      <c r="D588" s="727"/>
      <c r="E588" s="468" t="s">
        <v>623</v>
      </c>
      <c r="F588" s="367"/>
      <c r="G588" s="369"/>
      <c r="H588" s="46"/>
      <c r="I588" s="369"/>
      <c r="J588" s="369"/>
      <c r="K588" s="46"/>
      <c r="L588" s="369"/>
      <c r="M588" s="733"/>
    </row>
    <row r="589" spans="2:13" ht="18">
      <c r="B589" s="727"/>
      <c r="C589" s="730"/>
      <c r="D589" s="727"/>
      <c r="E589" s="352" t="s">
        <v>624</v>
      </c>
      <c r="F589" s="367"/>
      <c r="G589" s="369"/>
      <c r="H589" s="46">
        <v>1.6</v>
      </c>
      <c r="I589" s="369">
        <v>0.63</v>
      </c>
      <c r="J589" s="369">
        <v>0.06</v>
      </c>
      <c r="K589" s="46"/>
      <c r="L589" s="369">
        <f>H589*I589*J589</f>
        <v>0.06048</v>
      </c>
      <c r="M589" s="733"/>
    </row>
    <row r="590" spans="2:13" ht="18">
      <c r="B590" s="727"/>
      <c r="C590" s="730"/>
      <c r="D590" s="727"/>
      <c r="E590" s="352" t="s">
        <v>625</v>
      </c>
      <c r="F590" s="367"/>
      <c r="G590" s="369"/>
      <c r="H590" s="46">
        <v>1.7</v>
      </c>
      <c r="I590" s="369">
        <v>0.98</v>
      </c>
      <c r="J590" s="369">
        <v>0.06</v>
      </c>
      <c r="K590" s="46"/>
      <c r="L590" s="369">
        <f>H590*I590*J590</f>
        <v>0.09996</v>
      </c>
      <c r="M590" s="733"/>
    </row>
    <row r="591" spans="2:13" ht="90">
      <c r="B591" s="549" t="str">
        <f>'Pl Orçamentária'!B171</f>
        <v>11.4.2</v>
      </c>
      <c r="C591" s="560" t="str">
        <f>VLOOKUP(B591,'Pl Orçamentária'!$B$17:$L$347,4,FALSE)</f>
        <v>laje pre-moldada p/forro, sobrecarga 100kg/m2, vaos ate 3,50m/e=8cm, com/lajotas e cap.c/conc fck=20mpa, 3cm, inter-eixo 38cm, c/escoramento (reapr.3x) e ferragem negativa</v>
      </c>
      <c r="D591" s="549" t="s">
        <v>54</v>
      </c>
      <c r="E591" s="214" t="s">
        <v>603</v>
      </c>
      <c r="F591" s="576"/>
      <c r="G591" s="576"/>
      <c r="H591" s="608">
        <v>4.45</v>
      </c>
      <c r="I591" s="359">
        <v>3.5</v>
      </c>
      <c r="J591" s="549"/>
      <c r="K591" s="359">
        <f>H591*I591</f>
        <v>15.575000000000001</v>
      </c>
      <c r="L591" s="576"/>
      <c r="M591" s="439">
        <f>K591</f>
        <v>15.575000000000001</v>
      </c>
    </row>
    <row r="592" spans="2:13" ht="7.5" customHeight="1">
      <c r="B592" s="78"/>
      <c r="C592" s="373"/>
      <c r="D592" s="53"/>
      <c r="E592" s="78"/>
      <c r="F592" s="50"/>
      <c r="G592" s="50"/>
      <c r="H592" s="50"/>
      <c r="I592" s="50"/>
      <c r="J592" s="50"/>
      <c r="K592" s="50"/>
      <c r="L592" s="50"/>
      <c r="M592" s="50"/>
    </row>
    <row r="593" spans="2:13" ht="22.5" customHeight="1">
      <c r="B593" s="233" t="str">
        <f>'Pl Orçamentária'!B173</f>
        <v>11.5</v>
      </c>
      <c r="C593" s="455" t="str">
        <f>VLOOKUP(B593,'Pl Orçamentária'!$B$17:$L$347,4,FALSE)</f>
        <v>PAREDES E PAINÉIS</v>
      </c>
      <c r="D593" s="235"/>
      <c r="E593" s="236"/>
      <c r="F593" s="237"/>
      <c r="G593" s="237"/>
      <c r="H593" s="237"/>
      <c r="I593" s="237"/>
      <c r="J593" s="237"/>
      <c r="K593" s="237"/>
      <c r="L593" s="237"/>
      <c r="M593" s="238"/>
    </row>
    <row r="594" spans="2:13" ht="7.5" customHeight="1">
      <c r="B594" s="78"/>
      <c r="C594" s="373"/>
      <c r="D594" s="53"/>
      <c r="E594" s="78"/>
      <c r="F594" s="50"/>
      <c r="G594" s="50"/>
      <c r="H594" s="50"/>
      <c r="I594" s="50"/>
      <c r="J594" s="50"/>
      <c r="K594" s="50"/>
      <c r="L594" s="50"/>
      <c r="M594" s="50"/>
    </row>
    <row r="595" spans="2:13" ht="18.75">
      <c r="B595" s="726" t="str">
        <f>'Pl Orçamentária'!B175</f>
        <v>11.5.1</v>
      </c>
      <c r="C595" s="729" t="str">
        <f>VLOOKUP(B595,'Pl Orçamentária'!$B$17:$L$347,4,FALSE)</f>
        <v>Alvenaria de vedação de blocos cerâmicos furados na vertical de 9x19x39 (espessura 9cm) de paredes e argamassa de assentamento com preparo em betoneira</v>
      </c>
      <c r="D595" s="726"/>
      <c r="E595" s="467" t="s">
        <v>626</v>
      </c>
      <c r="F595" s="372"/>
      <c r="G595" s="264"/>
      <c r="H595" s="328"/>
      <c r="I595" s="264"/>
      <c r="J595" s="264"/>
      <c r="K595" s="328"/>
      <c r="L595" s="264"/>
      <c r="M595" s="732">
        <f>SUM(K595:K605)</f>
        <v>55.0475</v>
      </c>
    </row>
    <row r="596" spans="2:13" ht="18">
      <c r="B596" s="727"/>
      <c r="C596" s="730"/>
      <c r="D596" s="727"/>
      <c r="E596" s="352" t="s">
        <v>432</v>
      </c>
      <c r="F596" s="367"/>
      <c r="G596" s="369"/>
      <c r="H596" s="46">
        <v>0.98</v>
      </c>
      <c r="I596" s="369"/>
      <c r="J596" s="369">
        <v>1</v>
      </c>
      <c r="K596" s="46">
        <f>H596*J596</f>
        <v>0.98</v>
      </c>
      <c r="L596" s="369"/>
      <c r="M596" s="733"/>
    </row>
    <row r="597" spans="2:13" ht="18">
      <c r="B597" s="727"/>
      <c r="C597" s="730"/>
      <c r="D597" s="727"/>
      <c r="E597" s="352" t="s">
        <v>433</v>
      </c>
      <c r="F597" s="367"/>
      <c r="G597" s="369"/>
      <c r="H597" s="46">
        <v>0.98</v>
      </c>
      <c r="I597" s="369"/>
      <c r="J597" s="369">
        <v>1</v>
      </c>
      <c r="K597" s="46">
        <f>H597*J597</f>
        <v>0.98</v>
      </c>
      <c r="L597" s="369"/>
      <c r="M597" s="733"/>
    </row>
    <row r="598" spans="2:13" ht="18">
      <c r="B598" s="727"/>
      <c r="C598" s="730"/>
      <c r="D598" s="727"/>
      <c r="E598" s="352" t="s">
        <v>235</v>
      </c>
      <c r="F598" s="367"/>
      <c r="G598" s="369"/>
      <c r="H598" s="46">
        <v>0.63</v>
      </c>
      <c r="I598" s="369"/>
      <c r="J598" s="369">
        <v>1</v>
      </c>
      <c r="K598" s="46">
        <f>H598*J598</f>
        <v>0.63</v>
      </c>
      <c r="L598" s="369"/>
      <c r="M598" s="733"/>
    </row>
    <row r="599" spans="2:13" ht="18">
      <c r="B599" s="727"/>
      <c r="C599" s="730"/>
      <c r="D599" s="727"/>
      <c r="E599" s="352" t="s">
        <v>236</v>
      </c>
      <c r="F599" s="367"/>
      <c r="G599" s="369"/>
      <c r="H599" s="46">
        <v>0.63</v>
      </c>
      <c r="I599" s="369"/>
      <c r="J599" s="369">
        <v>1</v>
      </c>
      <c r="K599" s="46">
        <f>H599*J599</f>
        <v>0.63</v>
      </c>
      <c r="L599" s="369"/>
      <c r="M599" s="733"/>
    </row>
    <row r="600" spans="2:13" ht="18.75">
      <c r="B600" s="727"/>
      <c r="C600" s="730"/>
      <c r="D600" s="727"/>
      <c r="E600" s="468" t="s">
        <v>603</v>
      </c>
      <c r="F600" s="367"/>
      <c r="G600" s="369"/>
      <c r="H600" s="46"/>
      <c r="I600" s="369"/>
      <c r="J600" s="369"/>
      <c r="K600" s="46"/>
      <c r="L600" s="369"/>
      <c r="M600" s="733"/>
    </row>
    <row r="601" spans="2:13" ht="18">
      <c r="B601" s="727"/>
      <c r="C601" s="730"/>
      <c r="D601" s="727"/>
      <c r="E601" s="352" t="s">
        <v>432</v>
      </c>
      <c r="F601" s="367"/>
      <c r="G601" s="369"/>
      <c r="H601" s="46">
        <v>4.45</v>
      </c>
      <c r="I601" s="369"/>
      <c r="J601" s="369">
        <v>3.75</v>
      </c>
      <c r="K601" s="46">
        <f>H601*J601</f>
        <v>16.6875</v>
      </c>
      <c r="L601" s="369"/>
      <c r="M601" s="733"/>
    </row>
    <row r="602" spans="2:13" ht="18">
      <c r="B602" s="727"/>
      <c r="C602" s="730"/>
      <c r="D602" s="727"/>
      <c r="E602" s="352" t="s">
        <v>433</v>
      </c>
      <c r="F602" s="367"/>
      <c r="G602" s="369"/>
      <c r="H602" s="46">
        <v>4.45</v>
      </c>
      <c r="I602" s="369"/>
      <c r="J602" s="369">
        <v>2.8</v>
      </c>
      <c r="K602" s="46">
        <f>H602*J602</f>
        <v>12.459999999999999</v>
      </c>
      <c r="L602" s="369"/>
      <c r="M602" s="733"/>
    </row>
    <row r="603" spans="2:13" ht="18">
      <c r="B603" s="727"/>
      <c r="C603" s="730"/>
      <c r="D603" s="727"/>
      <c r="E603" s="352" t="s">
        <v>235</v>
      </c>
      <c r="F603" s="367"/>
      <c r="G603" s="369"/>
      <c r="H603" s="46">
        <v>2.3</v>
      </c>
      <c r="I603" s="369"/>
      <c r="J603" s="369"/>
      <c r="K603" s="46">
        <v>8.54</v>
      </c>
      <c r="L603" s="369"/>
      <c r="M603" s="733"/>
    </row>
    <row r="604" spans="2:13" ht="18">
      <c r="B604" s="727"/>
      <c r="C604" s="730"/>
      <c r="D604" s="727"/>
      <c r="E604" s="352" t="s">
        <v>236</v>
      </c>
      <c r="F604" s="367"/>
      <c r="G604" s="369"/>
      <c r="H604" s="46">
        <v>2</v>
      </c>
      <c r="I604" s="369"/>
      <c r="J604" s="369">
        <v>2.8</v>
      </c>
      <c r="K604" s="46">
        <f>H604*J604</f>
        <v>5.6</v>
      </c>
      <c r="L604" s="369"/>
      <c r="M604" s="733"/>
    </row>
    <row r="605" spans="2:13" ht="18">
      <c r="B605" s="728"/>
      <c r="C605" s="731"/>
      <c r="D605" s="728"/>
      <c r="E605" s="344" t="s">
        <v>436</v>
      </c>
      <c r="F605" s="368"/>
      <c r="G605" s="370"/>
      <c r="H605" s="329">
        <v>2.3</v>
      </c>
      <c r="I605" s="370"/>
      <c r="J605" s="370"/>
      <c r="K605" s="329">
        <v>8.54</v>
      </c>
      <c r="L605" s="370"/>
      <c r="M605" s="734"/>
    </row>
    <row r="606" spans="2:13" ht="7.5" customHeight="1">
      <c r="B606" s="78"/>
      <c r="C606" s="373"/>
      <c r="D606" s="53"/>
      <c r="E606" s="78"/>
      <c r="F606" s="50"/>
      <c r="G606" s="50"/>
      <c r="H606" s="50"/>
      <c r="I606" s="50"/>
      <c r="J606" s="50"/>
      <c r="K606" s="50"/>
      <c r="L606" s="50"/>
      <c r="M606" s="50"/>
    </row>
    <row r="607" spans="2:13" ht="22.5" customHeight="1">
      <c r="B607" s="233" t="str">
        <f>'Pl Orçamentária'!B177</f>
        <v>11.6</v>
      </c>
      <c r="C607" s="455" t="str">
        <f>VLOOKUP(B607,'Pl Orçamentária'!$B$17:$L$347,4,FALSE)</f>
        <v>COBERTURA</v>
      </c>
      <c r="D607" s="235"/>
      <c r="E607" s="236"/>
      <c r="F607" s="237"/>
      <c r="G607" s="237"/>
      <c r="H607" s="237"/>
      <c r="I607" s="237"/>
      <c r="J607" s="237"/>
      <c r="K607" s="237"/>
      <c r="L607" s="237"/>
      <c r="M607" s="238"/>
    </row>
    <row r="608" spans="2:13" ht="7.5" customHeight="1">
      <c r="B608" s="78"/>
      <c r="C608" s="373"/>
      <c r="D608" s="53"/>
      <c r="E608" s="78"/>
      <c r="F608" s="50"/>
      <c r="G608" s="50"/>
      <c r="H608" s="50"/>
      <c r="I608" s="50"/>
      <c r="J608" s="50"/>
      <c r="K608" s="50"/>
      <c r="L608" s="50"/>
      <c r="M608" s="50"/>
    </row>
    <row r="609" spans="2:13" ht="18" customHeight="1">
      <c r="B609" s="549" t="str">
        <f>'Pl Orçamentária'!B179</f>
        <v>11.6.1</v>
      </c>
      <c r="C609" s="560" t="str">
        <f>VLOOKUP(B609,'Pl Orçamentária'!$B$17:$L$347,4,FALSE)</f>
        <v>Estrutura metálica para telhado</v>
      </c>
      <c r="D609" s="549" t="s">
        <v>33</v>
      </c>
      <c r="E609" s="214" t="s">
        <v>603</v>
      </c>
      <c r="F609" s="576"/>
      <c r="G609" s="576"/>
      <c r="H609" s="549">
        <v>5.45</v>
      </c>
      <c r="I609" s="549">
        <v>3.67</v>
      </c>
      <c r="J609" s="549"/>
      <c r="K609" s="359">
        <f>H609*I609</f>
        <v>20.0015</v>
      </c>
      <c r="L609" s="163"/>
      <c r="M609" s="439">
        <f>K609</f>
        <v>20.0015</v>
      </c>
    </row>
    <row r="610" spans="2:13" ht="54">
      <c r="B610" s="549" t="str">
        <f>'Pl Orçamentária'!B180</f>
        <v>11.6.2</v>
      </c>
      <c r="C610" s="560" t="str">
        <f>VLOOKUP(B610,'Pl Orçamentária'!$B$17:$L$347,4,FALSE)</f>
        <v>Cobertura com telha de aço zincado, trapezoidal, espessura de 0,5 mm,incluindo acessórios</v>
      </c>
      <c r="D610" s="549" t="s">
        <v>33</v>
      </c>
      <c r="E610" s="214" t="s">
        <v>603</v>
      </c>
      <c r="F610" s="576"/>
      <c r="G610" s="576"/>
      <c r="H610" s="549">
        <v>5.45</v>
      </c>
      <c r="I610" s="549">
        <v>3.67</v>
      </c>
      <c r="J610" s="549"/>
      <c r="K610" s="359">
        <f>H610*I610</f>
        <v>20.0015</v>
      </c>
      <c r="L610" s="163"/>
      <c r="M610" s="439">
        <f>K610</f>
        <v>20.0015</v>
      </c>
    </row>
    <row r="611" spans="2:13" ht="36">
      <c r="B611" s="549" t="str">
        <f>'Pl Orçamentária'!B181</f>
        <v>11.6.3</v>
      </c>
      <c r="C611" s="560" t="str">
        <f>VLOOKUP(B611,'Pl Orçamentária'!$B$17:$L$347,4,FALSE)</f>
        <v>Rufo em concreto armado, largura 40cm, espessura 3cm</v>
      </c>
      <c r="D611" s="549" t="s">
        <v>28</v>
      </c>
      <c r="E611" s="214" t="s">
        <v>603</v>
      </c>
      <c r="F611" s="432"/>
      <c r="G611" s="432"/>
      <c r="H611" s="359">
        <v>4.55</v>
      </c>
      <c r="I611" s="576"/>
      <c r="J611" s="549"/>
      <c r="K611" s="359"/>
      <c r="L611" s="163"/>
      <c r="M611" s="439">
        <f>H611</f>
        <v>4.55</v>
      </c>
    </row>
    <row r="612" spans="2:13" ht="36">
      <c r="B612" s="549" t="str">
        <f>'Pl Orçamentária'!B182</f>
        <v>11.6.4</v>
      </c>
      <c r="C612" s="560" t="str">
        <f>VLOOKUP(B612,'Pl Orçamentária'!$B$17:$L$347,4,FALSE)</f>
        <v>Chapim de concreto aparente com acabamento desempenado</v>
      </c>
      <c r="D612" s="549" t="s">
        <v>28</v>
      </c>
      <c r="E612" s="214" t="s">
        <v>603</v>
      </c>
      <c r="F612" s="432"/>
      <c r="G612" s="432"/>
      <c r="H612" s="359">
        <v>4.55</v>
      </c>
      <c r="I612" s="576"/>
      <c r="J612" s="549"/>
      <c r="K612" s="359"/>
      <c r="L612" s="163"/>
      <c r="M612" s="439">
        <f>H612</f>
        <v>4.55</v>
      </c>
    </row>
    <row r="613" spans="2:13" ht="7.5" customHeight="1">
      <c r="B613" s="78"/>
      <c r="C613" s="373"/>
      <c r="D613" s="53"/>
      <c r="E613" s="78"/>
      <c r="F613" s="50"/>
      <c r="G613" s="50"/>
      <c r="H613" s="50"/>
      <c r="I613" s="50"/>
      <c r="J613" s="50"/>
      <c r="K613" s="50"/>
      <c r="L613" s="50"/>
      <c r="M613" s="50"/>
    </row>
    <row r="614" spans="2:13" ht="22.5" customHeight="1">
      <c r="B614" s="233" t="str">
        <f>'Pl Orçamentária'!B184</f>
        <v>11.7</v>
      </c>
      <c r="C614" s="455" t="str">
        <f>VLOOKUP(B614,'Pl Orçamentária'!$B$17:$L$347,4,FALSE)</f>
        <v>ESQUADRIAS</v>
      </c>
      <c r="D614" s="235"/>
      <c r="E614" s="236"/>
      <c r="F614" s="237"/>
      <c r="G614" s="237"/>
      <c r="H614" s="237"/>
      <c r="I614" s="237"/>
      <c r="J614" s="237"/>
      <c r="K614" s="237"/>
      <c r="L614" s="237"/>
      <c r="M614" s="238"/>
    </row>
    <row r="615" spans="2:13" ht="7.5" customHeight="1">
      <c r="B615" s="78"/>
      <c r="C615" s="373"/>
      <c r="D615" s="53"/>
      <c r="E615" s="78"/>
      <c r="F615" s="50"/>
      <c r="G615" s="50"/>
      <c r="H615" s="50"/>
      <c r="I615" s="50"/>
      <c r="J615" s="50"/>
      <c r="K615" s="50"/>
      <c r="L615" s="50"/>
      <c r="M615" s="50"/>
    </row>
    <row r="616" spans="2:13" ht="24.75" customHeight="1">
      <c r="B616" s="726" t="str">
        <f>'Pl Orçamentária'!B186</f>
        <v>11.7.1</v>
      </c>
      <c r="C616" s="729" t="str">
        <f>VLOOKUP(B616,'Pl Orçamentária'!$B$17:$L$347,4,FALSE)</f>
        <v>Porta de ferro, tipo grade , com guarnições</v>
      </c>
      <c r="D616" s="726" t="s">
        <v>33</v>
      </c>
      <c r="E616" s="343" t="s">
        <v>624</v>
      </c>
      <c r="F616" s="372"/>
      <c r="G616" s="264"/>
      <c r="H616" s="328"/>
      <c r="I616" s="264">
        <v>1.6</v>
      </c>
      <c r="J616" s="609">
        <v>1</v>
      </c>
      <c r="K616" s="225">
        <f>I616*J616</f>
        <v>1.6</v>
      </c>
      <c r="L616" s="594"/>
      <c r="M616" s="732">
        <f>SUM(K616:K617)</f>
        <v>3</v>
      </c>
    </row>
    <row r="617" spans="2:13" ht="24.75" customHeight="1">
      <c r="B617" s="728"/>
      <c r="C617" s="731"/>
      <c r="D617" s="728"/>
      <c r="E617" s="344" t="s">
        <v>625</v>
      </c>
      <c r="F617" s="368"/>
      <c r="G617" s="370"/>
      <c r="H617" s="329"/>
      <c r="I617" s="370">
        <v>1.4</v>
      </c>
      <c r="J617" s="610">
        <v>1</v>
      </c>
      <c r="K617" s="224">
        <f>I617*J617</f>
        <v>1.4</v>
      </c>
      <c r="L617" s="589"/>
      <c r="M617" s="734"/>
    </row>
    <row r="618" spans="2:13" ht="45.75" customHeight="1">
      <c r="B618" s="549" t="str">
        <f>'Pl Orçamentária'!B187</f>
        <v>11.7.3</v>
      </c>
      <c r="C618" s="560" t="str">
        <f>VLOOKUP(B618,'Pl Orçamentária'!$B$17:$L$347,4,FALSE)</f>
        <v>Porta de ferro, de abrir, tipo chapa lisa, com guarnições</v>
      </c>
      <c r="D618" s="549" t="s">
        <v>33</v>
      </c>
      <c r="E618" s="214" t="s">
        <v>603</v>
      </c>
      <c r="F618" s="359">
        <v>2</v>
      </c>
      <c r="G618" s="359"/>
      <c r="H618" s="359"/>
      <c r="I618" s="359">
        <v>0.8</v>
      </c>
      <c r="J618" s="359">
        <v>2.1</v>
      </c>
      <c r="K618" s="359">
        <f>F618*I618*J618</f>
        <v>3.3600000000000003</v>
      </c>
      <c r="L618" s="163"/>
      <c r="M618" s="439">
        <f>K618</f>
        <v>3.3600000000000003</v>
      </c>
    </row>
    <row r="619" spans="2:13" ht="49.5" customHeight="1">
      <c r="B619" s="549" t="str">
        <f>'Pl Orçamentária'!B188</f>
        <v>11.7.4</v>
      </c>
      <c r="C619" s="560" t="str">
        <f>VLOOKUP(B619,'Pl Orçamentária'!$B$17:$L$347,4,FALSE)</f>
        <v>Basculante em aluminio, completo, exclusive vidros</v>
      </c>
      <c r="D619" s="549" t="s">
        <v>33</v>
      </c>
      <c r="E619" s="214" t="s">
        <v>603</v>
      </c>
      <c r="F619" s="359">
        <v>4</v>
      </c>
      <c r="G619" s="359"/>
      <c r="H619" s="359"/>
      <c r="I619" s="359">
        <v>0.5</v>
      </c>
      <c r="J619" s="359">
        <v>0.3</v>
      </c>
      <c r="K619" s="359">
        <f>F619*I619*J619</f>
        <v>0.6</v>
      </c>
      <c r="L619" s="576"/>
      <c r="M619" s="439">
        <f>K619</f>
        <v>0.6</v>
      </c>
    </row>
    <row r="620" spans="2:13" ht="49.5" customHeight="1">
      <c r="B620" s="549" t="str">
        <f>'Pl Orçamentária'!B189</f>
        <v>11.7.5</v>
      </c>
      <c r="C620" s="560" t="str">
        <f>VLOOKUP(B620,'Pl Orçamentária'!$B$17:$L$347,4,FALSE)</f>
        <v>Vidro liso comum transparente, espessura 4mm</v>
      </c>
      <c r="D620" s="549"/>
      <c r="E620" s="214" t="s">
        <v>603</v>
      </c>
      <c r="F620" s="359">
        <v>4</v>
      </c>
      <c r="G620" s="359"/>
      <c r="H620" s="359"/>
      <c r="I620" s="359">
        <v>0.5</v>
      </c>
      <c r="J620" s="359">
        <v>0.3</v>
      </c>
      <c r="K620" s="359">
        <f>F620*I620*J620</f>
        <v>0.6</v>
      </c>
      <c r="L620" s="576"/>
      <c r="M620" s="439">
        <f>K620</f>
        <v>0.6</v>
      </c>
    </row>
    <row r="621" spans="2:13" ht="69.75" customHeight="1">
      <c r="B621" s="549" t="str">
        <f>'Pl Orçamentária'!B190</f>
        <v>11.7.6</v>
      </c>
      <c r="C621" s="560" t="str">
        <f>VLOOKUP(B621,'Pl Orçamentária'!$B$17:$L$347,4,FALSE)</f>
        <v>Tela de nylon tipo mosquiteiro com moldura em aluminio anodizado natural</v>
      </c>
      <c r="D621" s="549" t="s">
        <v>33</v>
      </c>
      <c r="E621" s="214" t="s">
        <v>603</v>
      </c>
      <c r="F621" s="432">
        <v>4</v>
      </c>
      <c r="G621" s="432"/>
      <c r="H621" s="359"/>
      <c r="I621" s="359">
        <v>0.6</v>
      </c>
      <c r="J621" s="359">
        <v>0.4</v>
      </c>
      <c r="K621" s="359">
        <f>F621*I621*J621</f>
        <v>0.96</v>
      </c>
      <c r="L621" s="163"/>
      <c r="M621" s="439">
        <f>K621</f>
        <v>0.96</v>
      </c>
    </row>
    <row r="622" spans="2:13" ht="7.5" customHeight="1">
      <c r="B622" s="78"/>
      <c r="C622" s="373"/>
      <c r="D622" s="53"/>
      <c r="E622" s="78"/>
      <c r="F622" s="50"/>
      <c r="G622" s="50"/>
      <c r="H622" s="50"/>
      <c r="I622" s="50"/>
      <c r="J622" s="50"/>
      <c r="K622" s="50"/>
      <c r="L622" s="50"/>
      <c r="M622" s="50"/>
    </row>
    <row r="623" spans="2:13" ht="22.5" customHeight="1">
      <c r="B623" s="233" t="str">
        <f>'Pl Orçamentária'!B192</f>
        <v>11.8</v>
      </c>
      <c r="C623" s="455" t="str">
        <f>VLOOKUP(B623,'Pl Orçamentária'!$B$17:$L$347,4,FALSE)</f>
        <v>INSTALAÇÕES  HIDRO-SANITÁRIAS</v>
      </c>
      <c r="D623" s="235"/>
      <c r="E623" s="236"/>
      <c r="F623" s="237"/>
      <c r="G623" s="237"/>
      <c r="H623" s="237"/>
      <c r="I623" s="237"/>
      <c r="J623" s="237"/>
      <c r="K623" s="237"/>
      <c r="L623" s="237"/>
      <c r="M623" s="238"/>
    </row>
    <row r="624" spans="2:13" ht="7.5" customHeight="1">
      <c r="B624" s="78"/>
      <c r="C624" s="373"/>
      <c r="D624" s="53"/>
      <c r="E624" s="78"/>
      <c r="F624" s="50"/>
      <c r="G624" s="50"/>
      <c r="H624" s="50"/>
      <c r="I624" s="50"/>
      <c r="J624" s="50"/>
      <c r="K624" s="50"/>
      <c r="L624" s="50"/>
      <c r="M624" s="50"/>
    </row>
    <row r="625" spans="2:13" ht="54" customHeight="1">
      <c r="B625" s="549" t="str">
        <f>'Pl Orçamentária'!B194</f>
        <v>11.8.1</v>
      </c>
      <c r="C625" s="560" t="str">
        <f>VLOOKUP(B625,'Pl Orçamentária'!$B$17:$L$347,4,FALSE)</f>
        <v>Ponto de esgoto com tubo de pvc rígido soldável de Ø 100 mm </v>
      </c>
      <c r="D625" s="549" t="s">
        <v>42</v>
      </c>
      <c r="E625" s="214"/>
      <c r="F625" s="432">
        <v>2</v>
      </c>
      <c r="G625" s="432"/>
      <c r="H625" s="359"/>
      <c r="I625" s="359"/>
      <c r="J625" s="163"/>
      <c r="K625" s="359"/>
      <c r="L625" s="163"/>
      <c r="M625" s="439">
        <f>F625</f>
        <v>2</v>
      </c>
    </row>
    <row r="626" spans="2:13" ht="68.25" customHeight="1">
      <c r="B626" s="549" t="str">
        <f>'Pl Orçamentária'!B195</f>
        <v>11.8.2</v>
      </c>
      <c r="C626" s="560" t="str">
        <f>VLOOKUP(B626,'Pl Orçamentária'!$B$17:$L$347,4,FALSE)</f>
        <v>Tubo pvc esgoto predial dn 100mm, inclusive conexoes - fornecimento e instalacao</v>
      </c>
      <c r="D626" s="549" t="s">
        <v>28</v>
      </c>
      <c r="E626" s="214"/>
      <c r="F626" s="432"/>
      <c r="G626" s="432"/>
      <c r="H626" s="359">
        <v>12</v>
      </c>
      <c r="I626" s="359"/>
      <c r="J626" s="163"/>
      <c r="K626" s="359"/>
      <c r="L626" s="163"/>
      <c r="M626" s="439">
        <f>H626</f>
        <v>12</v>
      </c>
    </row>
    <row r="627" spans="2:13" ht="54">
      <c r="B627" s="549" t="str">
        <f>'Pl Orçamentária'!B196</f>
        <v>11.8.3</v>
      </c>
      <c r="C627" s="560" t="str">
        <f>VLOOKUP(B627,'Pl Orçamentária'!$B$17:$L$347,4,FALSE)</f>
        <v>Caixa de inspeção em concreto pré-moldado dn  60mm com tampa h= 60cm fornecimento e instalação</v>
      </c>
      <c r="D627" s="549" t="s">
        <v>55</v>
      </c>
      <c r="E627" s="214"/>
      <c r="F627" s="359">
        <v>1</v>
      </c>
      <c r="G627" s="432"/>
      <c r="H627" s="359"/>
      <c r="I627" s="359"/>
      <c r="J627" s="163"/>
      <c r="K627" s="359"/>
      <c r="L627" s="163"/>
      <c r="M627" s="439">
        <f>F627</f>
        <v>1</v>
      </c>
    </row>
    <row r="628" spans="2:13" ht="75" customHeight="1">
      <c r="B628" s="549" t="str">
        <f>'Pl Orçamentária'!B197</f>
        <v>11.8.4</v>
      </c>
      <c r="C628" s="560" t="str">
        <f>VLOOKUP(B628,'Pl Orçamentária'!$B$17:$L$347,4,FALSE)</f>
        <v> Grelha de ferro fundido para canaleta larg = 15cm, fornecimento e assentamento</v>
      </c>
      <c r="D628" s="549" t="s">
        <v>28</v>
      </c>
      <c r="E628" s="214"/>
      <c r="F628" s="432"/>
      <c r="G628" s="432"/>
      <c r="H628" s="359">
        <f>1.8+2.2</f>
        <v>4</v>
      </c>
      <c r="I628" s="359"/>
      <c r="J628" s="163"/>
      <c r="K628" s="359"/>
      <c r="L628" s="163"/>
      <c r="M628" s="439">
        <f>H628</f>
        <v>4</v>
      </c>
    </row>
    <row r="629" spans="2:13" ht="75" customHeight="1">
      <c r="B629" s="549" t="str">
        <f>'Pl Orçamentária'!B198</f>
        <v>11.8.5</v>
      </c>
      <c r="C629" s="560" t="str">
        <f>VLOOKUP(B629,'Pl Orçamentária'!$B$17:$L$347,4,FALSE)</f>
        <v>Ponto de água fria embutido, c/material pvc rígido soldável Ø 25mm</v>
      </c>
      <c r="D629" s="549" t="s">
        <v>87</v>
      </c>
      <c r="E629" s="214"/>
      <c r="F629" s="432">
        <v>3</v>
      </c>
      <c r="G629" s="432"/>
      <c r="H629" s="359"/>
      <c r="I629" s="359"/>
      <c r="J629" s="163"/>
      <c r="K629" s="359"/>
      <c r="L629" s="163"/>
      <c r="M629" s="439">
        <f>F629</f>
        <v>3</v>
      </c>
    </row>
    <row r="630" spans="2:13" ht="54">
      <c r="B630" s="549" t="str">
        <f>'Pl Orçamentária'!B199</f>
        <v>11.8.6</v>
      </c>
      <c r="C630" s="560" t="str">
        <f>VLOOKUP(B630,'Pl Orçamentária'!$B$17:$L$347,4,FALSE)</f>
        <v>Torneira cromada 1/2" ou 3/4" para tanque, padrão médio - fornecimento e instalação</v>
      </c>
      <c r="D630" s="549" t="s">
        <v>55</v>
      </c>
      <c r="E630" s="214"/>
      <c r="F630" s="359">
        <v>3</v>
      </c>
      <c r="G630" s="432"/>
      <c r="H630" s="359"/>
      <c r="I630" s="359"/>
      <c r="J630" s="163"/>
      <c r="K630" s="359"/>
      <c r="L630" s="163"/>
      <c r="M630" s="439">
        <f>F630</f>
        <v>3</v>
      </c>
    </row>
    <row r="631" spans="2:13" ht="54">
      <c r="B631" s="549" t="str">
        <f>'Pl Orçamentária'!B200</f>
        <v>11.8.7</v>
      </c>
      <c r="C631" s="560" t="str">
        <f>VLOOKUP(B631,'Pl Orçamentária'!$B$17:$L$347,4,FALSE)</f>
        <v>Registro de gaveta com canopla ø 25mm, (cromoda) - fornecimento e instalação</v>
      </c>
      <c r="D631" s="549" t="s">
        <v>55</v>
      </c>
      <c r="E631" s="214"/>
      <c r="F631" s="359">
        <v>1</v>
      </c>
      <c r="G631" s="432"/>
      <c r="H631" s="359"/>
      <c r="I631" s="359"/>
      <c r="J631" s="163"/>
      <c r="K631" s="359"/>
      <c r="L631" s="163"/>
      <c r="M631" s="439">
        <f>F631</f>
        <v>1</v>
      </c>
    </row>
    <row r="632" spans="2:13" ht="7.5" customHeight="1">
      <c r="B632" s="78"/>
      <c r="C632" s="373"/>
      <c r="D632" s="53"/>
      <c r="E632" s="78"/>
      <c r="F632" s="50"/>
      <c r="G632" s="50"/>
      <c r="H632" s="50"/>
      <c r="I632" s="50"/>
      <c r="J632" s="50"/>
      <c r="K632" s="50"/>
      <c r="L632" s="50"/>
      <c r="M632" s="50"/>
    </row>
    <row r="633" spans="2:13" ht="22.5" customHeight="1">
      <c r="B633" s="233" t="str">
        <f>'Pl Orçamentária'!B202</f>
        <v>11.9</v>
      </c>
      <c r="C633" s="455" t="str">
        <f>VLOOKUP(B633,'Pl Orçamentária'!$B$17:$L$347,4,FALSE)</f>
        <v>INSTALAÇÕES ELÉTRICAS</v>
      </c>
      <c r="D633" s="235"/>
      <c r="E633" s="236"/>
      <c r="F633" s="237"/>
      <c r="G633" s="237"/>
      <c r="H633" s="237"/>
      <c r="I633" s="237"/>
      <c r="J633" s="237"/>
      <c r="K633" s="237"/>
      <c r="L633" s="237"/>
      <c r="M633" s="238"/>
    </row>
    <row r="634" spans="2:13" ht="7.5" customHeight="1">
      <c r="B634" s="78"/>
      <c r="C634" s="373"/>
      <c r="D634" s="53"/>
      <c r="E634" s="78"/>
      <c r="F634" s="50"/>
      <c r="G634" s="50"/>
      <c r="H634" s="50"/>
      <c r="I634" s="50"/>
      <c r="J634" s="50"/>
      <c r="K634" s="50"/>
      <c r="L634" s="50"/>
      <c r="M634" s="50"/>
    </row>
    <row r="635" spans="2:13" ht="54">
      <c r="B635" s="549" t="str">
        <f>'Pl Orçamentária'!B204</f>
        <v>11.9.1</v>
      </c>
      <c r="C635" s="560" t="str">
        <f>VLOOKUP(B635,'Pl Orçamentária'!$B$17:$L$347,4,FALSE)</f>
        <v>Ponto de interruptor 01 seção (1 s) embutido com eletroduto de pvc rígido Ø 3/4"</v>
      </c>
      <c r="D635" s="549" t="s">
        <v>87</v>
      </c>
      <c r="E635" s="214"/>
      <c r="F635" s="359">
        <v>3</v>
      </c>
      <c r="G635" s="432"/>
      <c r="H635" s="359"/>
      <c r="I635" s="359"/>
      <c r="J635" s="163"/>
      <c r="K635" s="359"/>
      <c r="L635" s="163"/>
      <c r="M635" s="439">
        <f>F635</f>
        <v>3</v>
      </c>
    </row>
    <row r="636" spans="2:13" ht="57" customHeight="1">
      <c r="B636" s="549" t="str">
        <f>'Pl Orçamentária'!B205</f>
        <v>11.9.2</v>
      </c>
      <c r="C636" s="560" t="str">
        <f>VLOOKUP(B636,'Pl Orçamentária'!$B$17:$L$347,4,FALSE)</f>
        <v>Ponto de luz em teto ou parede, com eletroduto pvc rígido embutido Ø 3/4"</v>
      </c>
      <c r="D636" s="549" t="s">
        <v>87</v>
      </c>
      <c r="E636" s="214"/>
      <c r="F636" s="432">
        <v>3</v>
      </c>
      <c r="G636" s="432"/>
      <c r="H636" s="359"/>
      <c r="I636" s="359"/>
      <c r="J636" s="163"/>
      <c r="K636" s="359"/>
      <c r="L636" s="163"/>
      <c r="M636" s="439">
        <f>F636</f>
        <v>3</v>
      </c>
    </row>
    <row r="637" spans="2:13" ht="90">
      <c r="B637" s="549" t="str">
        <f>'Pl Orçamentária'!B206</f>
        <v>11.9.3</v>
      </c>
      <c r="C637" s="560" t="str">
        <f>VLOOKUP(B637,'Pl Orçamentária'!$B$17:$L$347,4,FALSE)</f>
        <v>Ponto de tomada 2p+t, de embutir, 10 A, com eletroduto de pvc rígido embutido Ø 3/4", fio rigido 2,5mm² (fio 12), inclusive placa em pvc e aterramento</v>
      </c>
      <c r="D637" s="549" t="s">
        <v>87</v>
      </c>
      <c r="E637" s="214"/>
      <c r="F637" s="432">
        <v>1</v>
      </c>
      <c r="G637" s="432"/>
      <c r="H637" s="359"/>
      <c r="I637" s="359"/>
      <c r="J637" s="163"/>
      <c r="K637" s="359"/>
      <c r="L637" s="163"/>
      <c r="M637" s="439">
        <f>F637</f>
        <v>1</v>
      </c>
    </row>
    <row r="638" spans="2:13" ht="71.25" customHeight="1">
      <c r="B638" s="549" t="str">
        <f>'Pl Orçamentária'!B207</f>
        <v>11.9.4</v>
      </c>
      <c r="C638" s="560" t="str">
        <f>VLOOKUP(B638,'Pl Orçamentária'!$B$17:$L$347,4,FALSE)</f>
        <v>Cabo de cobre flexível isolado, 6 mm², anti-chama 450/750 v - fornecimento e instalação</v>
      </c>
      <c r="D638" s="549" t="s">
        <v>28</v>
      </c>
      <c r="E638" s="214"/>
      <c r="F638" s="432"/>
      <c r="G638" s="432"/>
      <c r="H638" s="359">
        <f>3*28.52</f>
        <v>85.56</v>
      </c>
      <c r="I638" s="359"/>
      <c r="J638" s="163"/>
      <c r="K638" s="359"/>
      <c r="L638" s="163"/>
      <c r="M638" s="439">
        <f>H638</f>
        <v>85.56</v>
      </c>
    </row>
    <row r="639" spans="2:13" ht="95.25" customHeight="1">
      <c r="B639" s="549" t="str">
        <f>'Pl Orçamentária'!B208</f>
        <v>11.9.5</v>
      </c>
      <c r="C639" s="560" t="str">
        <f>VLOOKUP(B639,'Pl Orçamentária'!$B$17:$L$347,4,FALSE)</f>
        <v>Luminária tipo calha, de sobrepor, com reator de partida rapida e lâmpada fluorescente 2x20w, completa, fornecimento e instalação</v>
      </c>
      <c r="D639" s="549" t="s">
        <v>0</v>
      </c>
      <c r="E639" s="214"/>
      <c r="F639" s="359">
        <v>3</v>
      </c>
      <c r="G639" s="432"/>
      <c r="H639" s="359"/>
      <c r="I639" s="359"/>
      <c r="J639" s="163"/>
      <c r="K639" s="359"/>
      <c r="L639" s="163"/>
      <c r="M639" s="439">
        <f>F639</f>
        <v>3</v>
      </c>
    </row>
    <row r="640" spans="2:13" ht="7.5" customHeight="1">
      <c r="B640" s="78"/>
      <c r="C640" s="373"/>
      <c r="D640" s="53"/>
      <c r="E640" s="78"/>
      <c r="F640" s="50"/>
      <c r="G640" s="50"/>
      <c r="H640" s="50"/>
      <c r="I640" s="50"/>
      <c r="J640" s="50"/>
      <c r="K640" s="50"/>
      <c r="L640" s="50"/>
      <c r="M640" s="50"/>
    </row>
    <row r="641" spans="2:13" ht="22.5" customHeight="1">
      <c r="B641" s="233" t="str">
        <f>'Pl Orçamentária'!B210</f>
        <v>11.10</v>
      </c>
      <c r="C641" s="455" t="str">
        <f>VLOOKUP(B641,'Pl Orçamentária'!$B$17:$L$347,4,FALSE)</f>
        <v>REVESTIMENTO</v>
      </c>
      <c r="D641" s="235"/>
      <c r="E641" s="236"/>
      <c r="F641" s="237"/>
      <c r="G641" s="237"/>
      <c r="H641" s="237"/>
      <c r="I641" s="237"/>
      <c r="J641" s="237"/>
      <c r="K641" s="237"/>
      <c r="L641" s="237"/>
      <c r="M641" s="238"/>
    </row>
    <row r="642" spans="2:13" ht="7.5" customHeight="1">
      <c r="B642" s="78"/>
      <c r="C642" s="373"/>
      <c r="D642" s="53"/>
      <c r="E642" s="78"/>
      <c r="F642" s="50"/>
      <c r="G642" s="50"/>
      <c r="H642" s="50"/>
      <c r="I642" s="50"/>
      <c r="J642" s="50"/>
      <c r="K642" s="50"/>
      <c r="L642" s="50"/>
      <c r="M642" s="50"/>
    </row>
    <row r="643" spans="2:13" ht="24.75" customHeight="1">
      <c r="B643" s="726" t="str">
        <f>'Pl Orçamentária'!B212</f>
        <v>11.10.1</v>
      </c>
      <c r="C643" s="729" t="str">
        <f>VLOOKUP(B643,'Pl Orçamentária'!$B$17:$L$347,4,FALSE)</f>
        <v>Chapisco aplicado em alvenarias de paredes, com colher de pedreiro. argamassa traço 1:3 com </v>
      </c>
      <c r="D643" s="726" t="s">
        <v>33</v>
      </c>
      <c r="E643" s="467" t="s">
        <v>627</v>
      </c>
      <c r="F643" s="372"/>
      <c r="G643" s="264"/>
      <c r="H643" s="328"/>
      <c r="I643" s="264"/>
      <c r="J643" s="264"/>
      <c r="K643" s="328"/>
      <c r="L643" s="264"/>
      <c r="M643" s="732">
        <f>SUM(K643:K655)</f>
        <v>96.32749999999999</v>
      </c>
    </row>
    <row r="644" spans="2:13" ht="24.75" customHeight="1">
      <c r="B644" s="727"/>
      <c r="C644" s="730"/>
      <c r="D644" s="727"/>
      <c r="E644" s="352" t="s">
        <v>628</v>
      </c>
      <c r="F644" s="367"/>
      <c r="G644" s="369"/>
      <c r="H644" s="367">
        <v>0.63</v>
      </c>
      <c r="I644" s="369"/>
      <c r="J644" s="369">
        <v>1</v>
      </c>
      <c r="K644" s="46">
        <f>H644*J644</f>
        <v>0.63</v>
      </c>
      <c r="L644" s="369"/>
      <c r="M644" s="733"/>
    </row>
    <row r="645" spans="2:13" ht="24.75" customHeight="1">
      <c r="B645" s="727"/>
      <c r="C645" s="730"/>
      <c r="D645" s="727"/>
      <c r="E645" s="352" t="s">
        <v>625</v>
      </c>
      <c r="F645" s="367"/>
      <c r="G645" s="369"/>
      <c r="H645" s="367">
        <v>0.98</v>
      </c>
      <c r="I645" s="369"/>
      <c r="J645" s="369">
        <v>1</v>
      </c>
      <c r="K645" s="46">
        <f>H645*J645</f>
        <v>0.98</v>
      </c>
      <c r="L645" s="369"/>
      <c r="M645" s="733"/>
    </row>
    <row r="646" spans="2:13" ht="24.75" customHeight="1">
      <c r="B646" s="727"/>
      <c r="C646" s="730"/>
      <c r="D646" s="727"/>
      <c r="E646" s="352" t="s">
        <v>603</v>
      </c>
      <c r="F646" s="367"/>
      <c r="G646" s="369">
        <v>16</v>
      </c>
      <c r="H646" s="46"/>
      <c r="I646" s="369"/>
      <c r="J646" s="369">
        <v>2.8</v>
      </c>
      <c r="K646" s="46">
        <f>G646*J646</f>
        <v>44.8</v>
      </c>
      <c r="L646" s="369"/>
      <c r="M646" s="733"/>
    </row>
    <row r="647" spans="2:13" ht="24.75" customHeight="1">
      <c r="B647" s="727"/>
      <c r="C647" s="730"/>
      <c r="D647" s="727"/>
      <c r="E647" s="468" t="s">
        <v>629</v>
      </c>
      <c r="F647" s="367"/>
      <c r="G647" s="369"/>
      <c r="H647" s="46"/>
      <c r="I647" s="369"/>
      <c r="J647" s="369"/>
      <c r="K647" s="46"/>
      <c r="L647" s="369"/>
      <c r="M647" s="733"/>
    </row>
    <row r="648" spans="2:13" ht="24.75" customHeight="1">
      <c r="B648" s="727"/>
      <c r="C648" s="730"/>
      <c r="D648" s="727"/>
      <c r="E648" s="352" t="s">
        <v>628</v>
      </c>
      <c r="F648" s="367"/>
      <c r="G648" s="369"/>
      <c r="H648" s="367">
        <f>0.63+0.15</f>
        <v>0.78</v>
      </c>
      <c r="I648" s="369"/>
      <c r="J648" s="369">
        <v>1</v>
      </c>
      <c r="K648" s="46">
        <f>H648*J648</f>
        <v>0.78</v>
      </c>
      <c r="L648" s="369"/>
      <c r="M648" s="733"/>
    </row>
    <row r="649" spans="2:13" ht="24.75" customHeight="1">
      <c r="B649" s="727"/>
      <c r="C649" s="730"/>
      <c r="D649" s="727"/>
      <c r="E649" s="352" t="s">
        <v>625</v>
      </c>
      <c r="F649" s="367"/>
      <c r="G649" s="369"/>
      <c r="H649" s="367">
        <f>0.98+0.15</f>
        <v>1.13</v>
      </c>
      <c r="I649" s="369"/>
      <c r="J649" s="369">
        <v>1</v>
      </c>
      <c r="K649" s="46">
        <f>H649*J649</f>
        <v>1.13</v>
      </c>
      <c r="L649" s="369"/>
      <c r="M649" s="733"/>
    </row>
    <row r="650" spans="2:13" ht="24.75" customHeight="1">
      <c r="B650" s="727"/>
      <c r="C650" s="730"/>
      <c r="D650" s="727"/>
      <c r="E650" s="352" t="s">
        <v>603</v>
      </c>
      <c r="F650" s="367"/>
      <c r="G650" s="369"/>
      <c r="H650" s="46"/>
      <c r="I650" s="369"/>
      <c r="J650" s="369"/>
      <c r="K650" s="46"/>
      <c r="L650" s="369"/>
      <c r="M650" s="733"/>
    </row>
    <row r="651" spans="2:13" ht="24.75" customHeight="1">
      <c r="B651" s="727"/>
      <c r="C651" s="730"/>
      <c r="D651" s="727"/>
      <c r="E651" s="352" t="s">
        <v>432</v>
      </c>
      <c r="F651" s="367"/>
      <c r="G651" s="369"/>
      <c r="H651" s="46">
        <v>4.45</v>
      </c>
      <c r="I651" s="369"/>
      <c r="J651" s="369">
        <v>3.85</v>
      </c>
      <c r="K651" s="46">
        <f>H651*J651</f>
        <v>17.1325</v>
      </c>
      <c r="L651" s="369"/>
      <c r="M651" s="733"/>
    </row>
    <row r="652" spans="2:13" ht="24.75" customHeight="1">
      <c r="B652" s="727"/>
      <c r="C652" s="730"/>
      <c r="D652" s="727"/>
      <c r="E652" s="352" t="s">
        <v>433</v>
      </c>
      <c r="F652" s="367"/>
      <c r="G652" s="369"/>
      <c r="H652" s="46">
        <v>4.45</v>
      </c>
      <c r="I652" s="369"/>
      <c r="J652" s="369">
        <v>2.8</v>
      </c>
      <c r="K652" s="46">
        <f>H652*J652</f>
        <v>12.459999999999999</v>
      </c>
      <c r="L652" s="369"/>
      <c r="M652" s="733"/>
    </row>
    <row r="653" spans="2:13" ht="24.75" customHeight="1">
      <c r="B653" s="727"/>
      <c r="C653" s="730"/>
      <c r="D653" s="727"/>
      <c r="E653" s="352" t="s">
        <v>434</v>
      </c>
      <c r="F653" s="367"/>
      <c r="G653" s="369"/>
      <c r="H653" s="46">
        <v>4.45</v>
      </c>
      <c r="I653" s="369"/>
      <c r="J653" s="369">
        <v>0.3</v>
      </c>
      <c r="K653" s="46">
        <f>H653*J653</f>
        <v>1.335</v>
      </c>
      <c r="L653" s="369"/>
      <c r="M653" s="733"/>
    </row>
    <row r="654" spans="2:13" ht="24.75" customHeight="1">
      <c r="B654" s="727"/>
      <c r="C654" s="730"/>
      <c r="D654" s="727"/>
      <c r="E654" s="352" t="s">
        <v>235</v>
      </c>
      <c r="F654" s="367"/>
      <c r="G654" s="369"/>
      <c r="H654" s="46">
        <v>2.3</v>
      </c>
      <c r="I654" s="369"/>
      <c r="J654" s="369"/>
      <c r="K654" s="46">
        <v>8.54</v>
      </c>
      <c r="L654" s="369"/>
      <c r="M654" s="733"/>
    </row>
    <row r="655" spans="2:13" ht="24.75" customHeight="1">
      <c r="B655" s="728"/>
      <c r="C655" s="731"/>
      <c r="D655" s="728"/>
      <c r="E655" s="352" t="s">
        <v>236</v>
      </c>
      <c r="F655" s="368"/>
      <c r="G655" s="370"/>
      <c r="H655" s="329">
        <v>2.3</v>
      </c>
      <c r="I655" s="370"/>
      <c r="J655" s="370"/>
      <c r="K655" s="46">
        <v>8.54</v>
      </c>
      <c r="L655" s="370"/>
      <c r="M655" s="734"/>
    </row>
    <row r="656" spans="2:13" ht="24.75" customHeight="1">
      <c r="B656" s="726" t="str">
        <f>'Pl Orçamentária'!B213</f>
        <v>11.10.2</v>
      </c>
      <c r="C656" s="729" t="str">
        <f>VLOOKUP(B656,'Pl Orçamentária'!$B$17:$L$347,4,FALSE)</f>
        <v>Reboco, de parede, com argamassa traço- 1:2:8 (cimento / cal / areia), espessura 2,5 cm</v>
      </c>
      <c r="D656" s="726" t="s">
        <v>33</v>
      </c>
      <c r="E656" s="467" t="s">
        <v>627</v>
      </c>
      <c r="F656" s="372"/>
      <c r="G656" s="264"/>
      <c r="H656" s="328"/>
      <c r="I656" s="264"/>
      <c r="J656" s="264"/>
      <c r="K656" s="328"/>
      <c r="L656" s="264"/>
      <c r="M656" s="732">
        <f>SUM(K656:K667)</f>
        <v>51.527499999999996</v>
      </c>
    </row>
    <row r="657" spans="2:13" ht="24.75" customHeight="1">
      <c r="B657" s="727"/>
      <c r="C657" s="730"/>
      <c r="D657" s="727"/>
      <c r="E657" s="352" t="s">
        <v>628</v>
      </c>
      <c r="F657" s="367"/>
      <c r="G657" s="369"/>
      <c r="H657" s="367">
        <v>0.63</v>
      </c>
      <c r="I657" s="369"/>
      <c r="J657" s="369">
        <v>1</v>
      </c>
      <c r="K657" s="46">
        <f>H657*J657</f>
        <v>0.63</v>
      </c>
      <c r="L657" s="369"/>
      <c r="M657" s="733"/>
    </row>
    <row r="658" spans="2:13" ht="24.75" customHeight="1">
      <c r="B658" s="727"/>
      <c r="C658" s="730"/>
      <c r="D658" s="727"/>
      <c r="E658" s="352" t="s">
        <v>625</v>
      </c>
      <c r="F658" s="367"/>
      <c r="G658" s="369"/>
      <c r="H658" s="367">
        <v>0.98</v>
      </c>
      <c r="I658" s="369"/>
      <c r="J658" s="369">
        <v>1</v>
      </c>
      <c r="K658" s="46">
        <f>H658*J658</f>
        <v>0.98</v>
      </c>
      <c r="L658" s="369"/>
      <c r="M658" s="733"/>
    </row>
    <row r="659" spans="2:13" ht="24.75" customHeight="1">
      <c r="B659" s="727"/>
      <c r="C659" s="730"/>
      <c r="D659" s="727"/>
      <c r="E659" s="468" t="s">
        <v>629</v>
      </c>
      <c r="F659" s="367"/>
      <c r="G659" s="369"/>
      <c r="H659" s="46"/>
      <c r="I659" s="369"/>
      <c r="J659" s="369"/>
      <c r="K659" s="46"/>
      <c r="L659" s="369"/>
      <c r="M659" s="733"/>
    </row>
    <row r="660" spans="2:13" ht="24.75" customHeight="1">
      <c r="B660" s="727"/>
      <c r="C660" s="730"/>
      <c r="D660" s="727"/>
      <c r="E660" s="352" t="s">
        <v>628</v>
      </c>
      <c r="F660" s="367"/>
      <c r="G660" s="369"/>
      <c r="H660" s="367">
        <f>0.63+0.15</f>
        <v>0.78</v>
      </c>
      <c r="I660" s="369"/>
      <c r="J660" s="369">
        <v>1</v>
      </c>
      <c r="K660" s="46">
        <f>H660*J660</f>
        <v>0.78</v>
      </c>
      <c r="L660" s="369"/>
      <c r="M660" s="733"/>
    </row>
    <row r="661" spans="2:13" ht="24.75" customHeight="1">
      <c r="B661" s="727"/>
      <c r="C661" s="730"/>
      <c r="D661" s="727"/>
      <c r="E661" s="352" t="s">
        <v>625</v>
      </c>
      <c r="F661" s="367"/>
      <c r="G661" s="369"/>
      <c r="H661" s="367">
        <f>0.98+0.15</f>
        <v>1.13</v>
      </c>
      <c r="I661" s="369"/>
      <c r="J661" s="369">
        <v>1</v>
      </c>
      <c r="K661" s="46">
        <f>H661*J661</f>
        <v>1.13</v>
      </c>
      <c r="L661" s="369"/>
      <c r="M661" s="733"/>
    </row>
    <row r="662" spans="2:13" ht="24.75" customHeight="1">
      <c r="B662" s="727"/>
      <c r="C662" s="730"/>
      <c r="D662" s="727"/>
      <c r="E662" s="611" t="s">
        <v>603</v>
      </c>
      <c r="F662" s="367"/>
      <c r="G662" s="369"/>
      <c r="H662" s="46"/>
      <c r="I662" s="369"/>
      <c r="J662" s="369"/>
      <c r="K662" s="46"/>
      <c r="L662" s="369"/>
      <c r="M662" s="733"/>
    </row>
    <row r="663" spans="2:13" ht="24.75" customHeight="1">
      <c r="B663" s="727"/>
      <c r="C663" s="730"/>
      <c r="D663" s="727"/>
      <c r="E663" s="352" t="s">
        <v>432</v>
      </c>
      <c r="F663" s="367"/>
      <c r="G663" s="369"/>
      <c r="H663" s="46">
        <v>4.45</v>
      </c>
      <c r="I663" s="369"/>
      <c r="J663" s="369">
        <v>3.85</v>
      </c>
      <c r="K663" s="46">
        <f>H663*J663</f>
        <v>17.1325</v>
      </c>
      <c r="L663" s="369"/>
      <c r="M663" s="733"/>
    </row>
    <row r="664" spans="2:13" ht="24.75" customHeight="1">
      <c r="B664" s="727"/>
      <c r="C664" s="730"/>
      <c r="D664" s="727"/>
      <c r="E664" s="352" t="s">
        <v>433</v>
      </c>
      <c r="F664" s="367"/>
      <c r="G664" s="369"/>
      <c r="H664" s="46">
        <v>4.45</v>
      </c>
      <c r="I664" s="369"/>
      <c r="J664" s="369">
        <v>2.8</v>
      </c>
      <c r="K664" s="46">
        <f>H664*J664</f>
        <v>12.459999999999999</v>
      </c>
      <c r="L664" s="369"/>
      <c r="M664" s="733"/>
    </row>
    <row r="665" spans="2:13" ht="24.75" customHeight="1">
      <c r="B665" s="727"/>
      <c r="C665" s="730"/>
      <c r="D665" s="727"/>
      <c r="E665" s="352" t="s">
        <v>434</v>
      </c>
      <c r="F665" s="367"/>
      <c r="G665" s="369"/>
      <c r="H665" s="46">
        <v>4.45</v>
      </c>
      <c r="I665" s="369"/>
      <c r="J665" s="369">
        <v>0.3</v>
      </c>
      <c r="K665" s="46">
        <f>H665*J665</f>
        <v>1.335</v>
      </c>
      <c r="L665" s="369"/>
      <c r="M665" s="733"/>
    </row>
    <row r="666" spans="2:13" ht="24.75" customHeight="1">
      <c r="B666" s="727"/>
      <c r="C666" s="730"/>
      <c r="D666" s="727"/>
      <c r="E666" s="352" t="s">
        <v>235</v>
      </c>
      <c r="F666" s="367"/>
      <c r="G666" s="369"/>
      <c r="H666" s="46">
        <v>2.3</v>
      </c>
      <c r="I666" s="369"/>
      <c r="J666" s="369"/>
      <c r="K666" s="46">
        <v>8.54</v>
      </c>
      <c r="L666" s="369"/>
      <c r="M666" s="733"/>
    </row>
    <row r="667" spans="2:13" ht="24.75" customHeight="1">
      <c r="B667" s="727"/>
      <c r="C667" s="730"/>
      <c r="D667" s="727"/>
      <c r="E667" s="352" t="s">
        <v>236</v>
      </c>
      <c r="F667" s="367"/>
      <c r="G667" s="369"/>
      <c r="H667" s="46">
        <v>2.3</v>
      </c>
      <c r="I667" s="369"/>
      <c r="J667" s="369"/>
      <c r="K667" s="46">
        <v>8.54</v>
      </c>
      <c r="L667" s="369"/>
      <c r="M667" s="733"/>
    </row>
    <row r="668" spans="2:13" ht="54">
      <c r="B668" s="549" t="str">
        <f>'Pl Orçamentária'!B214</f>
        <v>11.10.3</v>
      </c>
      <c r="C668" s="560" t="str">
        <f>VLOOKUP(B668,'Pl Orçamentária'!$B$17:$L$347,4,FALSE)</f>
        <v>Emboço, para recebimento de cerâmica, em argamassa traço 1:2:8, manualmente</v>
      </c>
      <c r="D668" s="549" t="s">
        <v>33</v>
      </c>
      <c r="E668" s="214" t="s">
        <v>603</v>
      </c>
      <c r="F668" s="612"/>
      <c r="G668" s="359">
        <v>16</v>
      </c>
      <c r="H668" s="261"/>
      <c r="I668" s="359"/>
      <c r="J668" s="359">
        <v>2.8</v>
      </c>
      <c r="K668" s="261">
        <f>G668*J668</f>
        <v>44.8</v>
      </c>
      <c r="L668" s="432"/>
      <c r="M668" s="439">
        <f>K668</f>
        <v>44.8</v>
      </c>
    </row>
    <row r="669" spans="2:13" ht="36">
      <c r="B669" s="549" t="str">
        <f>'Pl Orçamentária'!B215</f>
        <v>11.10.4</v>
      </c>
      <c r="C669" s="560" t="str">
        <f>VLOOKUP(B669,'Pl Orçamentária'!$B$17:$L$347,4,FALSE)</f>
        <v>Revestimento cerâmico para paredes internas 20x20cm </v>
      </c>
      <c r="D669" s="549"/>
      <c r="E669" s="214" t="s">
        <v>603</v>
      </c>
      <c r="F669" s="359"/>
      <c r="G669" s="359">
        <v>16</v>
      </c>
      <c r="H669" s="261"/>
      <c r="I669" s="359"/>
      <c r="J669" s="359">
        <v>2.8</v>
      </c>
      <c r="K669" s="261">
        <f>G669*J669</f>
        <v>44.8</v>
      </c>
      <c r="L669" s="432"/>
      <c r="M669" s="439">
        <f>K669</f>
        <v>44.8</v>
      </c>
    </row>
    <row r="670" spans="2:13" ht="54">
      <c r="B670" s="549" t="str">
        <f>'Pl Orçamentária'!B216</f>
        <v>11.10.5</v>
      </c>
      <c r="C670" s="560" t="str">
        <f>VLOOKUP(B670,'Pl Orçamentária'!$B$17:$L$347,4,FALSE)</f>
        <v>Chapisco traco 1:3 (cimento e areia media), espessura 0,5cm, preparo manual da argamassa</v>
      </c>
      <c r="D670" s="549" t="s">
        <v>33</v>
      </c>
      <c r="E670" s="214" t="s">
        <v>603</v>
      </c>
      <c r="F670" s="359"/>
      <c r="G670" s="432"/>
      <c r="H670" s="359"/>
      <c r="I670" s="359"/>
      <c r="J670" s="163"/>
      <c r="K670" s="359">
        <f>3.6+4.4+5.34</f>
        <v>13.34</v>
      </c>
      <c r="L670" s="163"/>
      <c r="M670" s="439">
        <f>K670</f>
        <v>13.34</v>
      </c>
    </row>
    <row r="671" spans="2:13" ht="54">
      <c r="B671" s="549" t="str">
        <f>'Pl Orçamentária'!B217</f>
        <v>11.10.6</v>
      </c>
      <c r="C671" s="560" t="str">
        <f>VLOOKUP(B671,'Pl Orçamentária'!$B$17:$L$347,4,FALSE)</f>
        <v>Reboco traco 1:2:8), espessura 2,0cm, preparo preparo mecânico, aplicação manual</v>
      </c>
      <c r="D671" s="549" t="s">
        <v>33</v>
      </c>
      <c r="E671" s="214" t="s">
        <v>603</v>
      </c>
      <c r="F671" s="359"/>
      <c r="G671" s="432"/>
      <c r="H671" s="359"/>
      <c r="I671" s="359"/>
      <c r="J671" s="163"/>
      <c r="K671" s="359">
        <f>3.6+4.4+5.34</f>
        <v>13.34</v>
      </c>
      <c r="L671" s="163"/>
      <c r="M671" s="439">
        <f>K671</f>
        <v>13.34</v>
      </c>
    </row>
    <row r="672" spans="2:13" ht="7.5" customHeight="1">
      <c r="B672" s="78"/>
      <c r="C672" s="373"/>
      <c r="D672" s="53"/>
      <c r="E672" s="78"/>
      <c r="F672" s="50"/>
      <c r="G672" s="50"/>
      <c r="H672" s="50"/>
      <c r="I672" s="50"/>
      <c r="J672" s="50"/>
      <c r="K672" s="50"/>
      <c r="L672" s="50"/>
      <c r="M672" s="50"/>
    </row>
    <row r="673" spans="2:13" ht="22.5" customHeight="1">
      <c r="B673" s="233" t="str">
        <f>'Pl Orçamentária'!B219</f>
        <v>11.11</v>
      </c>
      <c r="C673" s="455" t="str">
        <f>VLOOKUP(B673,'Pl Orçamentária'!$B$17:$L$347,4,FALSE)</f>
        <v>PAVIMENTAÇÃO</v>
      </c>
      <c r="D673" s="235"/>
      <c r="E673" s="236"/>
      <c r="F673" s="237"/>
      <c r="G673" s="237"/>
      <c r="H673" s="237"/>
      <c r="I673" s="237"/>
      <c r="J673" s="237"/>
      <c r="K673" s="237"/>
      <c r="L673" s="237"/>
      <c r="M673" s="238"/>
    </row>
    <row r="674" spans="2:13" ht="7.5" customHeight="1">
      <c r="B674" s="78"/>
      <c r="C674" s="373"/>
      <c r="D674" s="53"/>
      <c r="E674" s="78"/>
      <c r="F674" s="50"/>
      <c r="G674" s="50"/>
      <c r="H674" s="50"/>
      <c r="I674" s="50"/>
      <c r="J674" s="50"/>
      <c r="K674" s="50"/>
      <c r="L674" s="50"/>
      <c r="M674" s="50"/>
    </row>
    <row r="675" spans="2:13" ht="36">
      <c r="B675" s="549" t="str">
        <f>'Pl Orçamentária'!B221</f>
        <v>11.11.1</v>
      </c>
      <c r="C675" s="560" t="str">
        <f>VLOOKUP(B675,'Pl Orçamentária'!$B$17:$L$347,4,FALSE)</f>
        <v>Regularização  para revestimento de pisos com esp. média = 2,5cm</v>
      </c>
      <c r="D675" s="549" t="s">
        <v>33</v>
      </c>
      <c r="E675" s="214" t="s">
        <v>603</v>
      </c>
      <c r="F675" s="359"/>
      <c r="G675" s="432"/>
      <c r="H675" s="359"/>
      <c r="I675" s="359"/>
      <c r="J675" s="549"/>
      <c r="K675" s="359">
        <f>3.6+4.4+5.34</f>
        <v>13.34</v>
      </c>
      <c r="L675" s="359"/>
      <c r="M675" s="439">
        <f>K675</f>
        <v>13.34</v>
      </c>
    </row>
    <row r="676" spans="2:13" ht="24.75" customHeight="1">
      <c r="B676" s="726" t="str">
        <f>'Pl Orçamentária'!B222</f>
        <v>11.11.2</v>
      </c>
      <c r="C676" s="729" t="str">
        <f>VLOOKUP(B676,'Pl Orçamentária'!$B$17:$L$347,4,FALSE)</f>
        <v>Revestimetno cerâmico para piso de 45x45cm com pei superior a 4, inclusive rodapé h=15cm</v>
      </c>
      <c r="D676" s="726" t="s">
        <v>33</v>
      </c>
      <c r="E676" s="343" t="s">
        <v>603</v>
      </c>
      <c r="F676" s="372"/>
      <c r="G676" s="264"/>
      <c r="H676" s="328"/>
      <c r="I676" s="225"/>
      <c r="J676" s="330"/>
      <c r="K676" s="225">
        <f>3.6+4.4+5.34</f>
        <v>13.34</v>
      </c>
      <c r="L676" s="262"/>
      <c r="M676" s="732">
        <f>SUM(K676:K677)</f>
        <v>16.4075</v>
      </c>
    </row>
    <row r="677" spans="2:13" ht="24.75" customHeight="1">
      <c r="B677" s="728"/>
      <c r="C677" s="731"/>
      <c r="D677" s="728"/>
      <c r="E677" s="344" t="s">
        <v>630</v>
      </c>
      <c r="F677" s="368"/>
      <c r="G677" s="370">
        <f>16+4.45</f>
        <v>20.45</v>
      </c>
      <c r="H677" s="329"/>
      <c r="I677" s="224"/>
      <c r="J677" s="552">
        <v>0.15</v>
      </c>
      <c r="K677" s="224">
        <f>G677*J677</f>
        <v>3.0675</v>
      </c>
      <c r="L677" s="364"/>
      <c r="M677" s="734"/>
    </row>
    <row r="678" spans="2:13" ht="18.75">
      <c r="B678" s="735" t="str">
        <f>'Pl Orçamentária'!B223</f>
        <v>11.11.3</v>
      </c>
      <c r="C678" s="736" t="str">
        <f>VLOOKUP(B678,'Pl Orçamentária'!$B$17:$L$347,4,FALSE)</f>
        <v>Execução de passeio (calçada) em concreto 12 mpa, traço 1:3:5 (cimento/areia/brita), preparo mecânico, espessura 7cm, com junta de dilatação em madeira, incluso lançamento e adensamento</v>
      </c>
      <c r="D678" s="735"/>
      <c r="E678" s="467" t="s">
        <v>603</v>
      </c>
      <c r="F678" s="372"/>
      <c r="G678" s="264"/>
      <c r="H678" s="372"/>
      <c r="I678" s="264"/>
      <c r="J678" s="264"/>
      <c r="K678" s="328"/>
      <c r="L678" s="343"/>
      <c r="M678" s="732">
        <f>SUM(K678:K680)</f>
        <v>10.4505</v>
      </c>
    </row>
    <row r="679" spans="2:13" ht="18">
      <c r="B679" s="735"/>
      <c r="C679" s="736"/>
      <c r="D679" s="735"/>
      <c r="E679" s="352" t="s">
        <v>631</v>
      </c>
      <c r="F679" s="367"/>
      <c r="G679" s="369"/>
      <c r="H679" s="367">
        <v>12.45</v>
      </c>
      <c r="I679" s="369">
        <v>0.45</v>
      </c>
      <c r="J679" s="369"/>
      <c r="K679" s="46">
        <f>H679*I679</f>
        <v>5.6025</v>
      </c>
      <c r="L679" s="352"/>
      <c r="M679" s="733"/>
    </row>
    <row r="680" spans="2:13" ht="18">
      <c r="B680" s="735"/>
      <c r="C680" s="736"/>
      <c r="D680" s="735"/>
      <c r="E680" s="344" t="s">
        <v>632</v>
      </c>
      <c r="F680" s="368">
        <v>2</v>
      </c>
      <c r="G680" s="370"/>
      <c r="H680" s="370">
        <v>2.02</v>
      </c>
      <c r="I680" s="370">
        <v>1.2</v>
      </c>
      <c r="J680" s="370"/>
      <c r="K680" s="329">
        <f>F680*H680*I680</f>
        <v>4.848</v>
      </c>
      <c r="L680" s="344"/>
      <c r="M680" s="734"/>
    </row>
    <row r="681" spans="2:13" ht="7.5" customHeight="1">
      <c r="B681" s="78"/>
      <c r="C681" s="373"/>
      <c r="D681" s="53"/>
      <c r="E681" s="78"/>
      <c r="F681" s="50"/>
      <c r="G681" s="50"/>
      <c r="H681" s="50"/>
      <c r="I681" s="50"/>
      <c r="J681" s="50"/>
      <c r="K681" s="50"/>
      <c r="L681" s="50"/>
      <c r="M681" s="50"/>
    </row>
    <row r="682" spans="2:13" ht="22.5" customHeight="1">
      <c r="B682" s="233" t="str">
        <f>'Pl Orçamentária'!B225</f>
        <v>11.12</v>
      </c>
      <c r="C682" s="455" t="str">
        <f>VLOOKUP(B682,'Pl Orçamentária'!$B$17:$L$347,4,FALSE)</f>
        <v>PINTURA</v>
      </c>
      <c r="D682" s="235"/>
      <c r="E682" s="236"/>
      <c r="F682" s="237"/>
      <c r="G682" s="237"/>
      <c r="H682" s="237"/>
      <c r="I682" s="237"/>
      <c r="J682" s="237"/>
      <c r="K682" s="237"/>
      <c r="L682" s="237"/>
      <c r="M682" s="238"/>
    </row>
    <row r="683" spans="2:13" ht="7.5" customHeight="1">
      <c r="B683" s="78"/>
      <c r="C683" s="373"/>
      <c r="D683" s="53"/>
      <c r="E683" s="78"/>
      <c r="F683" s="50"/>
      <c r="G683" s="50"/>
      <c r="H683" s="50"/>
      <c r="I683" s="50"/>
      <c r="J683" s="50"/>
      <c r="K683" s="50"/>
      <c r="L683" s="50"/>
      <c r="M683" s="50"/>
    </row>
    <row r="684" spans="2:13" ht="24.75" customHeight="1">
      <c r="B684" s="726" t="str">
        <f>'Pl Orçamentária'!B227</f>
        <v>11.12.1</v>
      </c>
      <c r="C684" s="729" t="str">
        <f>VLOOKUP(B684,'Pl Orçamentária'!$B$17:$L$347,4,FALSE)</f>
        <v>Aplicação manual de fundo selador acrílico, uma demão</v>
      </c>
      <c r="D684" s="726" t="s">
        <v>33</v>
      </c>
      <c r="E684" s="616" t="s">
        <v>627</v>
      </c>
      <c r="F684" s="372"/>
      <c r="G684" s="264"/>
      <c r="H684" s="328"/>
      <c r="I684" s="264"/>
      <c r="J684" s="264"/>
      <c r="K684" s="328"/>
      <c r="L684" s="264"/>
      <c r="M684" s="732">
        <f>SUM(K684:K698)</f>
        <v>96.32749999999999</v>
      </c>
    </row>
    <row r="685" spans="2:13" ht="24.75" customHeight="1">
      <c r="B685" s="727"/>
      <c r="C685" s="730"/>
      <c r="D685" s="727"/>
      <c r="E685" s="352" t="s">
        <v>628</v>
      </c>
      <c r="F685" s="367"/>
      <c r="G685" s="369"/>
      <c r="H685" s="367">
        <v>0.63</v>
      </c>
      <c r="I685" s="369"/>
      <c r="J685" s="369">
        <v>1</v>
      </c>
      <c r="K685" s="46">
        <f>H685*J685</f>
        <v>0.63</v>
      </c>
      <c r="L685" s="369"/>
      <c r="M685" s="733"/>
    </row>
    <row r="686" spans="2:13" ht="24.75" customHeight="1">
      <c r="B686" s="727"/>
      <c r="C686" s="730"/>
      <c r="D686" s="727"/>
      <c r="E686" s="352" t="s">
        <v>625</v>
      </c>
      <c r="F686" s="367"/>
      <c r="G686" s="369"/>
      <c r="H686" s="367">
        <v>0.98</v>
      </c>
      <c r="I686" s="369"/>
      <c r="J686" s="369">
        <v>1</v>
      </c>
      <c r="K686" s="46">
        <f>H686*J686</f>
        <v>0.98</v>
      </c>
      <c r="L686" s="369"/>
      <c r="M686" s="733"/>
    </row>
    <row r="687" spans="2:13" ht="24.75" customHeight="1">
      <c r="B687" s="727"/>
      <c r="C687" s="730"/>
      <c r="D687" s="727"/>
      <c r="E687" s="611" t="s">
        <v>603</v>
      </c>
      <c r="F687" s="367"/>
      <c r="G687" s="369"/>
      <c r="H687" s="367"/>
      <c r="I687" s="369"/>
      <c r="J687" s="369"/>
      <c r="K687" s="46"/>
      <c r="L687" s="369"/>
      <c r="M687" s="733"/>
    </row>
    <row r="688" spans="2:13" ht="24.75" customHeight="1">
      <c r="B688" s="727"/>
      <c r="C688" s="730"/>
      <c r="D688" s="727"/>
      <c r="E688" s="352" t="s">
        <v>633</v>
      </c>
      <c r="F688" s="367"/>
      <c r="G688" s="369">
        <v>7.6</v>
      </c>
      <c r="H688" s="367"/>
      <c r="I688" s="369"/>
      <c r="J688" s="369">
        <v>2.8</v>
      </c>
      <c r="K688" s="46">
        <f>G688*J688</f>
        <v>21.279999999999998</v>
      </c>
      <c r="L688" s="369"/>
      <c r="M688" s="733"/>
    </row>
    <row r="689" spans="2:13" ht="24.75" customHeight="1">
      <c r="B689" s="727"/>
      <c r="C689" s="730"/>
      <c r="D689" s="727"/>
      <c r="E689" s="352" t="s">
        <v>634</v>
      </c>
      <c r="F689" s="367"/>
      <c r="G689" s="369">
        <v>8.4</v>
      </c>
      <c r="H689" s="367"/>
      <c r="I689" s="369"/>
      <c r="J689" s="369">
        <v>2.8</v>
      </c>
      <c r="K689" s="46">
        <f>G689*J689</f>
        <v>23.52</v>
      </c>
      <c r="L689" s="369"/>
      <c r="M689" s="733"/>
    </row>
    <row r="690" spans="2:13" ht="24.75" customHeight="1">
      <c r="B690" s="727"/>
      <c r="C690" s="730"/>
      <c r="D690" s="727"/>
      <c r="E690" s="615" t="s">
        <v>629</v>
      </c>
      <c r="F690" s="367"/>
      <c r="G690" s="369"/>
      <c r="H690" s="46"/>
      <c r="I690" s="369"/>
      <c r="J690" s="369"/>
      <c r="K690" s="46"/>
      <c r="L690" s="369"/>
      <c r="M690" s="733"/>
    </row>
    <row r="691" spans="2:13" ht="24.75" customHeight="1">
      <c r="B691" s="727"/>
      <c r="C691" s="730"/>
      <c r="D691" s="727"/>
      <c r="E691" s="352" t="s">
        <v>628</v>
      </c>
      <c r="F691" s="367"/>
      <c r="G691" s="369"/>
      <c r="H691" s="367">
        <f>0.63+0.15</f>
        <v>0.78</v>
      </c>
      <c r="I691" s="369"/>
      <c r="J691" s="369">
        <v>1</v>
      </c>
      <c r="K691" s="46">
        <f>H691*J691</f>
        <v>0.78</v>
      </c>
      <c r="L691" s="369"/>
      <c r="M691" s="733"/>
    </row>
    <row r="692" spans="2:13" ht="24.75" customHeight="1">
      <c r="B692" s="727"/>
      <c r="C692" s="730"/>
      <c r="D692" s="727"/>
      <c r="E692" s="352" t="s">
        <v>625</v>
      </c>
      <c r="F692" s="367"/>
      <c r="G692" s="369"/>
      <c r="H692" s="367">
        <f>0.98+0.15</f>
        <v>1.13</v>
      </c>
      <c r="I692" s="369"/>
      <c r="J692" s="369">
        <v>1</v>
      </c>
      <c r="K692" s="46">
        <f>H692*J692</f>
        <v>1.13</v>
      </c>
      <c r="L692" s="369"/>
      <c r="M692" s="733"/>
    </row>
    <row r="693" spans="2:13" ht="24.75" customHeight="1">
      <c r="B693" s="727"/>
      <c r="C693" s="730"/>
      <c r="D693" s="727"/>
      <c r="E693" s="611" t="s">
        <v>603</v>
      </c>
      <c r="F693" s="367"/>
      <c r="G693" s="369"/>
      <c r="H693" s="46"/>
      <c r="I693" s="369"/>
      <c r="J693" s="369"/>
      <c r="K693" s="46"/>
      <c r="L693" s="369"/>
      <c r="M693" s="733"/>
    </row>
    <row r="694" spans="2:13" ht="24.75" customHeight="1">
      <c r="B694" s="727"/>
      <c r="C694" s="730"/>
      <c r="D694" s="727"/>
      <c r="E694" s="352" t="s">
        <v>432</v>
      </c>
      <c r="F694" s="367"/>
      <c r="G694" s="369"/>
      <c r="H694" s="46">
        <v>4.45</v>
      </c>
      <c r="I694" s="369"/>
      <c r="J694" s="369">
        <v>3.85</v>
      </c>
      <c r="K694" s="46">
        <f>H694*J694</f>
        <v>17.1325</v>
      </c>
      <c r="L694" s="369"/>
      <c r="M694" s="733"/>
    </row>
    <row r="695" spans="2:13" ht="24.75" customHeight="1">
      <c r="B695" s="727"/>
      <c r="C695" s="730"/>
      <c r="D695" s="727"/>
      <c r="E695" s="352" t="s">
        <v>433</v>
      </c>
      <c r="F695" s="367"/>
      <c r="G695" s="369"/>
      <c r="H695" s="46">
        <v>4.45</v>
      </c>
      <c r="I695" s="369"/>
      <c r="J695" s="369">
        <v>2.8</v>
      </c>
      <c r="K695" s="46">
        <f>H695*J695</f>
        <v>12.459999999999999</v>
      </c>
      <c r="L695" s="369"/>
      <c r="M695" s="733"/>
    </row>
    <row r="696" spans="2:13" ht="24.75" customHeight="1">
      <c r="B696" s="727"/>
      <c r="C696" s="730"/>
      <c r="D696" s="727"/>
      <c r="E696" s="352" t="s">
        <v>434</v>
      </c>
      <c r="F696" s="367"/>
      <c r="G696" s="369"/>
      <c r="H696" s="46">
        <v>4.45</v>
      </c>
      <c r="I696" s="369"/>
      <c r="J696" s="369">
        <v>0.3</v>
      </c>
      <c r="K696" s="46">
        <f>H696*J696</f>
        <v>1.335</v>
      </c>
      <c r="L696" s="369"/>
      <c r="M696" s="733"/>
    </row>
    <row r="697" spans="2:13" ht="24.75" customHeight="1">
      <c r="B697" s="727"/>
      <c r="C697" s="730"/>
      <c r="D697" s="727"/>
      <c r="E697" s="352" t="s">
        <v>235</v>
      </c>
      <c r="F697" s="367"/>
      <c r="G697" s="369"/>
      <c r="H697" s="46">
        <v>2.3</v>
      </c>
      <c r="I697" s="369"/>
      <c r="J697" s="369"/>
      <c r="K697" s="46">
        <v>8.54</v>
      </c>
      <c r="L697" s="369"/>
      <c r="M697" s="733"/>
    </row>
    <row r="698" spans="2:13" ht="24.75" customHeight="1">
      <c r="B698" s="728"/>
      <c r="C698" s="731"/>
      <c r="D698" s="728"/>
      <c r="E698" s="344" t="s">
        <v>236</v>
      </c>
      <c r="F698" s="368"/>
      <c r="G698" s="370"/>
      <c r="H698" s="329">
        <v>2.3</v>
      </c>
      <c r="I698" s="370"/>
      <c r="J698" s="370"/>
      <c r="K698" s="329">
        <v>8.54</v>
      </c>
      <c r="L698" s="370"/>
      <c r="M698" s="734"/>
    </row>
    <row r="699" spans="2:13" ht="24.75" customHeight="1">
      <c r="B699" s="726" t="str">
        <f>'Pl Orçamentária'!B228</f>
        <v>11.12.2</v>
      </c>
      <c r="C699" s="729" t="str">
        <f>VLOOKUP(B699,'Pl Orçamentária'!$B$17:$L$347,4,FALSE)</f>
        <v>Aplicação manual de pintura com tinta texturizada acrílica em paredes externas</v>
      </c>
      <c r="D699" s="726" t="s">
        <v>33</v>
      </c>
      <c r="E699" s="616" t="s">
        <v>627</v>
      </c>
      <c r="F699" s="372"/>
      <c r="G699" s="264"/>
      <c r="H699" s="328"/>
      <c r="I699" s="264"/>
      <c r="J699" s="264"/>
      <c r="K699" s="328"/>
      <c r="L699" s="262"/>
      <c r="M699" s="732">
        <f>SUM(K699:K713)</f>
        <v>96.32749999999999</v>
      </c>
    </row>
    <row r="700" spans="2:13" ht="24.75" customHeight="1">
      <c r="B700" s="727"/>
      <c r="C700" s="730"/>
      <c r="D700" s="727"/>
      <c r="E700" s="352" t="s">
        <v>628</v>
      </c>
      <c r="F700" s="367"/>
      <c r="G700" s="369"/>
      <c r="H700" s="367">
        <v>0.63</v>
      </c>
      <c r="I700" s="369"/>
      <c r="J700" s="369">
        <v>1</v>
      </c>
      <c r="K700" s="46">
        <f>H700*J700</f>
        <v>0.63</v>
      </c>
      <c r="L700" s="363"/>
      <c r="M700" s="733"/>
    </row>
    <row r="701" spans="2:13" ht="24.75" customHeight="1">
      <c r="B701" s="727"/>
      <c r="C701" s="730"/>
      <c r="D701" s="727"/>
      <c r="E701" s="352" t="s">
        <v>625</v>
      </c>
      <c r="F701" s="367"/>
      <c r="G701" s="369"/>
      <c r="H701" s="367">
        <v>0.98</v>
      </c>
      <c r="I701" s="369"/>
      <c r="J701" s="369">
        <v>1</v>
      </c>
      <c r="K701" s="46">
        <f>H701*J701</f>
        <v>0.98</v>
      </c>
      <c r="L701" s="363"/>
      <c r="M701" s="733"/>
    </row>
    <row r="702" spans="2:13" ht="24.75" customHeight="1">
      <c r="B702" s="727"/>
      <c r="C702" s="730"/>
      <c r="D702" s="727"/>
      <c r="E702" s="611" t="s">
        <v>603</v>
      </c>
      <c r="F702" s="367"/>
      <c r="G702" s="369"/>
      <c r="H702" s="367"/>
      <c r="I702" s="369"/>
      <c r="J702" s="369"/>
      <c r="K702" s="46"/>
      <c r="L702" s="363"/>
      <c r="M702" s="733"/>
    </row>
    <row r="703" spans="2:13" ht="24.75" customHeight="1">
      <c r="B703" s="727"/>
      <c r="C703" s="730"/>
      <c r="D703" s="727"/>
      <c r="E703" s="352" t="s">
        <v>633</v>
      </c>
      <c r="F703" s="367"/>
      <c r="G703" s="369">
        <v>7.6</v>
      </c>
      <c r="H703" s="367"/>
      <c r="I703" s="369"/>
      <c r="J703" s="369">
        <v>2.8</v>
      </c>
      <c r="K703" s="46">
        <f>G703*J703</f>
        <v>21.279999999999998</v>
      </c>
      <c r="L703" s="363"/>
      <c r="M703" s="733"/>
    </row>
    <row r="704" spans="2:13" ht="24.75" customHeight="1">
      <c r="B704" s="727"/>
      <c r="C704" s="730"/>
      <c r="D704" s="727"/>
      <c r="E704" s="352" t="s">
        <v>634</v>
      </c>
      <c r="F704" s="367"/>
      <c r="G704" s="369">
        <v>8.4</v>
      </c>
      <c r="H704" s="367"/>
      <c r="I704" s="369"/>
      <c r="J704" s="369">
        <v>2.8</v>
      </c>
      <c r="K704" s="46">
        <f>G704*J704</f>
        <v>23.52</v>
      </c>
      <c r="L704" s="363"/>
      <c r="M704" s="733"/>
    </row>
    <row r="705" spans="2:13" ht="24.75" customHeight="1">
      <c r="B705" s="727"/>
      <c r="C705" s="730"/>
      <c r="D705" s="727"/>
      <c r="E705" s="615" t="s">
        <v>629</v>
      </c>
      <c r="F705" s="367"/>
      <c r="G705" s="369"/>
      <c r="H705" s="46"/>
      <c r="I705" s="369"/>
      <c r="J705" s="369"/>
      <c r="K705" s="46"/>
      <c r="L705" s="363"/>
      <c r="M705" s="733"/>
    </row>
    <row r="706" spans="2:13" ht="24.75" customHeight="1">
      <c r="B706" s="727"/>
      <c r="C706" s="730"/>
      <c r="D706" s="727"/>
      <c r="E706" s="352" t="s">
        <v>628</v>
      </c>
      <c r="F706" s="367"/>
      <c r="G706" s="369"/>
      <c r="H706" s="367">
        <f>0.63+0.15</f>
        <v>0.78</v>
      </c>
      <c r="I706" s="369"/>
      <c r="J706" s="369">
        <v>1</v>
      </c>
      <c r="K706" s="46">
        <f>H706*J706</f>
        <v>0.78</v>
      </c>
      <c r="L706" s="363"/>
      <c r="M706" s="733"/>
    </row>
    <row r="707" spans="2:13" ht="24.75" customHeight="1">
      <c r="B707" s="727"/>
      <c r="C707" s="730"/>
      <c r="D707" s="727"/>
      <c r="E707" s="352" t="s">
        <v>625</v>
      </c>
      <c r="F707" s="367"/>
      <c r="G707" s="369"/>
      <c r="H707" s="367">
        <f>0.98+0.15</f>
        <v>1.13</v>
      </c>
      <c r="I707" s="369"/>
      <c r="J707" s="369">
        <v>1</v>
      </c>
      <c r="K707" s="46">
        <f>H707*J707</f>
        <v>1.13</v>
      </c>
      <c r="L707" s="363"/>
      <c r="M707" s="733"/>
    </row>
    <row r="708" spans="2:13" ht="24.75" customHeight="1">
      <c r="B708" s="727"/>
      <c r="C708" s="730"/>
      <c r="D708" s="727"/>
      <c r="E708" s="611" t="s">
        <v>603</v>
      </c>
      <c r="F708" s="367"/>
      <c r="G708" s="369"/>
      <c r="H708" s="46"/>
      <c r="I708" s="369"/>
      <c r="J708" s="369"/>
      <c r="K708" s="46"/>
      <c r="L708" s="363"/>
      <c r="M708" s="733"/>
    </row>
    <row r="709" spans="2:13" ht="24.75" customHeight="1">
      <c r="B709" s="727"/>
      <c r="C709" s="730"/>
      <c r="D709" s="727"/>
      <c r="E709" s="352" t="s">
        <v>432</v>
      </c>
      <c r="F709" s="367"/>
      <c r="G709" s="369"/>
      <c r="H709" s="46">
        <v>4.45</v>
      </c>
      <c r="I709" s="369"/>
      <c r="J709" s="369">
        <v>3.85</v>
      </c>
      <c r="K709" s="46">
        <f>H709*J709</f>
        <v>17.1325</v>
      </c>
      <c r="L709" s="363"/>
      <c r="M709" s="733"/>
    </row>
    <row r="710" spans="2:13" ht="24.75" customHeight="1">
      <c r="B710" s="727"/>
      <c r="C710" s="730"/>
      <c r="D710" s="727"/>
      <c r="E710" s="352" t="s">
        <v>433</v>
      </c>
      <c r="F710" s="367"/>
      <c r="G710" s="369"/>
      <c r="H710" s="46">
        <v>4.45</v>
      </c>
      <c r="I710" s="369"/>
      <c r="J710" s="369">
        <v>2.8</v>
      </c>
      <c r="K710" s="46">
        <f>H710*J710</f>
        <v>12.459999999999999</v>
      </c>
      <c r="L710" s="363"/>
      <c r="M710" s="733"/>
    </row>
    <row r="711" spans="2:13" ht="24.75" customHeight="1">
      <c r="B711" s="727"/>
      <c r="C711" s="730"/>
      <c r="D711" s="727"/>
      <c r="E711" s="352" t="s">
        <v>434</v>
      </c>
      <c r="F711" s="367"/>
      <c r="G711" s="369"/>
      <c r="H711" s="46">
        <v>4.45</v>
      </c>
      <c r="I711" s="369"/>
      <c r="J711" s="369">
        <v>0.3</v>
      </c>
      <c r="K711" s="46">
        <f>H711*J711</f>
        <v>1.335</v>
      </c>
      <c r="L711" s="363"/>
      <c r="M711" s="733"/>
    </row>
    <row r="712" spans="2:13" ht="24.75" customHeight="1">
      <c r="B712" s="727"/>
      <c r="C712" s="730"/>
      <c r="D712" s="727"/>
      <c r="E712" s="352" t="s">
        <v>235</v>
      </c>
      <c r="F712" s="367"/>
      <c r="G712" s="369"/>
      <c r="H712" s="46">
        <v>2.3</v>
      </c>
      <c r="I712" s="369"/>
      <c r="J712" s="369"/>
      <c r="K712" s="46">
        <v>8.54</v>
      </c>
      <c r="L712" s="363"/>
      <c r="M712" s="733"/>
    </row>
    <row r="713" spans="2:13" ht="24.75" customHeight="1">
      <c r="B713" s="728"/>
      <c r="C713" s="731"/>
      <c r="D713" s="728"/>
      <c r="E713" s="344" t="s">
        <v>236</v>
      </c>
      <c r="F713" s="368"/>
      <c r="G713" s="370"/>
      <c r="H713" s="329">
        <v>2.3</v>
      </c>
      <c r="I713" s="370"/>
      <c r="J713" s="370"/>
      <c r="K713" s="329">
        <v>8.54</v>
      </c>
      <c r="L713" s="364"/>
      <c r="M713" s="734"/>
    </row>
    <row r="714" spans="2:13" ht="36">
      <c r="B714" s="549" t="str">
        <f>'Pl Orçamentária'!B229</f>
        <v>11.12.3</v>
      </c>
      <c r="C714" s="586" t="str">
        <f>VLOOKUP(B714,'Pl Orçamentária'!$B$17:$L$347,4,FALSE)</f>
        <v>Aplicação de fundo selador látex PVA em teto, uma demão</v>
      </c>
      <c r="D714" s="549"/>
      <c r="E714" s="214" t="s">
        <v>603</v>
      </c>
      <c r="F714" s="612"/>
      <c r="G714" s="432"/>
      <c r="H714" s="261"/>
      <c r="I714" s="359"/>
      <c r="J714" s="429"/>
      <c r="K714" s="359">
        <f>3.6+4.4+5.34</f>
        <v>13.34</v>
      </c>
      <c r="L714" s="163"/>
      <c r="M714" s="547">
        <f>K714</f>
        <v>13.34</v>
      </c>
    </row>
    <row r="715" spans="2:13" ht="36">
      <c r="B715" s="549" t="str">
        <f>'Pl Orçamentária'!B230</f>
        <v>11.12.4</v>
      </c>
      <c r="C715" s="586" t="str">
        <f>VLOOKUP(B715,'Pl Orçamentária'!$B$17:$L$347,4,FALSE)</f>
        <v>Aplicação e lixamento de massa  em teto, duas demãos</v>
      </c>
      <c r="D715" s="555"/>
      <c r="E715" s="214" t="s">
        <v>603</v>
      </c>
      <c r="F715" s="612"/>
      <c r="G715" s="432"/>
      <c r="H715" s="261"/>
      <c r="I715" s="359"/>
      <c r="J715" s="429"/>
      <c r="K715" s="359">
        <f>3.6+4.4+5.34</f>
        <v>13.34</v>
      </c>
      <c r="L715" s="163"/>
      <c r="M715" s="547">
        <f>K715</f>
        <v>13.34</v>
      </c>
    </row>
    <row r="716" spans="2:13" ht="48" customHeight="1">
      <c r="B716" s="549" t="str">
        <f>'Pl Orçamentária'!B231</f>
        <v>11.12.5</v>
      </c>
      <c r="C716" s="586" t="str">
        <f>VLOOKUP(B716,'Pl Orçamentária'!$B$17:$L$347,4,FALSE)</f>
        <v>Aplicação manual de pintura com tinta PVA em teto, branco neve, duas demãos</v>
      </c>
      <c r="D716" s="555"/>
      <c r="E716" s="214" t="s">
        <v>603</v>
      </c>
      <c r="F716" s="612"/>
      <c r="G716" s="432"/>
      <c r="H716" s="261"/>
      <c r="I716" s="359"/>
      <c r="J716" s="429"/>
      <c r="K716" s="359">
        <f>3.6+4.4+5.34</f>
        <v>13.34</v>
      </c>
      <c r="L716" s="163"/>
      <c r="M716" s="547">
        <f>K716</f>
        <v>13.34</v>
      </c>
    </row>
    <row r="717" spans="2:13" ht="36">
      <c r="B717" s="735" t="str">
        <f>'Pl Orçamentária'!B232</f>
        <v>11.12.6</v>
      </c>
      <c r="C717" s="736" t="str">
        <f>VLOOKUP(B717,'Pl Orçamentária'!$B$17:$L$347,4,FALSE)</f>
        <v>Pintura esmalte sintético, em gradil de ferro com base anti-ferrugem</v>
      </c>
      <c r="D717" s="735" t="s">
        <v>33</v>
      </c>
      <c r="E717" s="343" t="str">
        <f>C616</f>
        <v>Porta de ferro, tipo grade , com guarnições</v>
      </c>
      <c r="F717" s="372"/>
      <c r="G717" s="264"/>
      <c r="H717" s="328"/>
      <c r="I717" s="264"/>
      <c r="J717" s="264"/>
      <c r="K717" s="328">
        <f>M616</f>
        <v>3</v>
      </c>
      <c r="L717" s="262"/>
      <c r="M717" s="732">
        <f>SUM(K717:K719)*2</f>
        <v>13.92</v>
      </c>
    </row>
    <row r="718" spans="2:13" ht="36">
      <c r="B718" s="735"/>
      <c r="C718" s="736"/>
      <c r="D718" s="735"/>
      <c r="E718" s="352" t="str">
        <f>C618</f>
        <v>Porta de ferro, de abrir, tipo chapa lisa, com guarnições</v>
      </c>
      <c r="F718" s="367"/>
      <c r="G718" s="369"/>
      <c r="H718" s="46"/>
      <c r="I718" s="369"/>
      <c r="J718" s="369"/>
      <c r="K718" s="46">
        <f>M618</f>
        <v>3.3600000000000003</v>
      </c>
      <c r="L718" s="363"/>
      <c r="M718" s="733"/>
    </row>
    <row r="719" spans="2:13" ht="36">
      <c r="B719" s="735"/>
      <c r="C719" s="736"/>
      <c r="D719" s="735"/>
      <c r="E719" s="344" t="str">
        <f>C619</f>
        <v>Basculante em aluminio, completo, exclusive vidros</v>
      </c>
      <c r="F719" s="368"/>
      <c r="G719" s="370"/>
      <c r="H719" s="329"/>
      <c r="I719" s="370"/>
      <c r="J719" s="370"/>
      <c r="K719" s="329">
        <f>M619</f>
        <v>0.6</v>
      </c>
      <c r="L719" s="364"/>
      <c r="M719" s="734"/>
    </row>
    <row r="720" spans="2:13" ht="7.5" customHeight="1">
      <c r="B720" s="78"/>
      <c r="C720" s="373"/>
      <c r="D720" s="53"/>
      <c r="E720" s="78"/>
      <c r="F720" s="50"/>
      <c r="G720" s="50"/>
      <c r="H720" s="50"/>
      <c r="I720" s="50"/>
      <c r="J720" s="50"/>
      <c r="K720" s="50"/>
      <c r="L720" s="50"/>
      <c r="M720" s="50"/>
    </row>
    <row r="721" spans="2:13" ht="22.5" customHeight="1">
      <c r="B721" s="233" t="str">
        <f>'Pl Orçamentária'!B234</f>
        <v>11.13</v>
      </c>
      <c r="C721" s="455" t="str">
        <f>VLOOKUP(B721,'Pl Orçamentária'!$B$17:$L$347,4,FALSE)</f>
        <v>DIVERSOS</v>
      </c>
      <c r="D721" s="235"/>
      <c r="E721" s="236"/>
      <c r="F721" s="237"/>
      <c r="G721" s="237"/>
      <c r="H721" s="237"/>
      <c r="I721" s="237"/>
      <c r="J721" s="237"/>
      <c r="K721" s="237"/>
      <c r="L721" s="237"/>
      <c r="M721" s="238"/>
    </row>
    <row r="722" spans="2:13" ht="7.5" customHeight="1">
      <c r="B722" s="78"/>
      <c r="C722" s="373"/>
      <c r="D722" s="53"/>
      <c r="E722" s="78"/>
      <c r="F722" s="50"/>
      <c r="G722" s="50"/>
      <c r="H722" s="50"/>
      <c r="I722" s="50"/>
      <c r="J722" s="50"/>
      <c r="K722" s="50"/>
      <c r="L722" s="50"/>
      <c r="M722" s="50"/>
    </row>
    <row r="723" spans="2:13" ht="18">
      <c r="B723" s="549" t="str">
        <f>'Pl Orçamentária'!B236</f>
        <v>11.13.1</v>
      </c>
      <c r="C723" s="560" t="str">
        <f>VLOOKUP(B723,'Pl Orçamentária'!$B$17:$L$347,4,FALSE)</f>
        <v>Limpeza final da obra </v>
      </c>
      <c r="D723" s="549"/>
      <c r="E723" s="214" t="s">
        <v>603</v>
      </c>
      <c r="F723" s="612"/>
      <c r="G723" s="432"/>
      <c r="H723" s="261">
        <v>4.45</v>
      </c>
      <c r="I723" s="359">
        <v>3.5</v>
      </c>
      <c r="J723" s="429"/>
      <c r="K723" s="608">
        <f>H723*I723</f>
        <v>15.575000000000001</v>
      </c>
      <c r="L723" s="163"/>
      <c r="M723" s="439">
        <f>SUM(K723:K723)</f>
        <v>15.575000000000001</v>
      </c>
    </row>
    <row r="724" spans="2:13" ht="18">
      <c r="B724" s="551"/>
      <c r="C724" s="557"/>
      <c r="D724" s="551"/>
      <c r="E724" s="426"/>
      <c r="F724" s="367"/>
      <c r="G724" s="367"/>
      <c r="H724" s="46"/>
      <c r="I724" s="46"/>
      <c r="J724" s="47"/>
      <c r="K724" s="46"/>
      <c r="L724" s="47"/>
      <c r="M724" s="148"/>
    </row>
    <row r="725" spans="2:13" ht="18">
      <c r="B725" s="551"/>
      <c r="C725" s="557"/>
      <c r="D725" s="551"/>
      <c r="E725" s="426"/>
      <c r="F725" s="367"/>
      <c r="G725" s="367"/>
      <c r="H725" s="46"/>
      <c r="I725" s="46"/>
      <c r="J725" s="47"/>
      <c r="K725" s="46"/>
      <c r="L725" s="47"/>
      <c r="M725" s="148"/>
    </row>
    <row r="726" spans="2:13" ht="18">
      <c r="B726" s="551"/>
      <c r="C726" s="557"/>
      <c r="D726" s="551"/>
      <c r="E726" s="426"/>
      <c r="F726" s="367"/>
      <c r="G726" s="367"/>
      <c r="H726" s="46"/>
      <c r="I726" s="46"/>
      <c r="J726" s="47"/>
      <c r="K726" s="46"/>
      <c r="L726" s="47"/>
      <c r="M726" s="148"/>
    </row>
    <row r="727" spans="2:13" ht="18">
      <c r="B727" s="551"/>
      <c r="C727" s="557"/>
      <c r="D727" s="551"/>
      <c r="E727" s="426"/>
      <c r="F727" s="367"/>
      <c r="G727" s="367"/>
      <c r="H727" s="46"/>
      <c r="I727" s="46"/>
      <c r="J727" s="47"/>
      <c r="K727" s="46"/>
      <c r="L727" s="47"/>
      <c r="M727" s="148"/>
    </row>
    <row r="728" spans="2:13" ht="18">
      <c r="B728" s="551"/>
      <c r="C728" s="557"/>
      <c r="D728" s="551"/>
      <c r="E728" s="426"/>
      <c r="F728" s="367"/>
      <c r="G728" s="367"/>
      <c r="H728" s="46"/>
      <c r="I728" s="46"/>
      <c r="J728" s="47"/>
      <c r="K728" s="46"/>
      <c r="L728" s="47"/>
      <c r="M728" s="148"/>
    </row>
    <row r="729" spans="2:13" ht="18">
      <c r="B729" s="551"/>
      <c r="C729" s="557"/>
      <c r="D729" s="551"/>
      <c r="E729" s="426"/>
      <c r="F729" s="367"/>
      <c r="G729" s="367"/>
      <c r="H729" s="46"/>
      <c r="I729" s="46"/>
      <c r="J729" s="47"/>
      <c r="K729" s="46"/>
      <c r="L729" s="47"/>
      <c r="M729" s="148"/>
    </row>
    <row r="730" spans="2:13" ht="18">
      <c r="B730" s="551"/>
      <c r="C730" s="784" t="str">
        <f>'Pl Orçamentária'!C247</f>
        <v>Teresina (PI),  16 de Fevereiro de  2016</v>
      </c>
      <c r="D730" s="784"/>
      <c r="E730" s="426"/>
      <c r="F730" s="367"/>
      <c r="G730" s="367"/>
      <c r="H730" s="46"/>
      <c r="I730" s="46"/>
      <c r="J730" s="47"/>
      <c r="K730" s="46"/>
      <c r="L730" s="47"/>
      <c r="M730" s="148"/>
    </row>
    <row r="731" spans="2:13" ht="18">
      <c r="B731" s="551"/>
      <c r="C731" s="557"/>
      <c r="D731" s="551"/>
      <c r="E731" s="426"/>
      <c r="F731" s="367"/>
      <c r="G731" s="367"/>
      <c r="H731" s="46"/>
      <c r="I731" s="46"/>
      <c r="J731" s="47"/>
      <c r="K731" s="46"/>
      <c r="L731" s="47"/>
      <c r="M731" s="148"/>
    </row>
    <row r="732" spans="2:13" ht="18">
      <c r="B732" s="551"/>
      <c r="C732" s="557"/>
      <c r="D732" s="551"/>
      <c r="E732" s="426"/>
      <c r="F732" s="367"/>
      <c r="G732" s="367"/>
      <c r="H732" s="46"/>
      <c r="I732" s="46"/>
      <c r="J732" s="47"/>
      <c r="K732" s="46"/>
      <c r="L732" s="47"/>
      <c r="M732" s="148"/>
    </row>
    <row r="733" spans="2:13" ht="18">
      <c r="B733" s="551"/>
      <c r="C733" s="557"/>
      <c r="D733" s="551"/>
      <c r="E733" s="426"/>
      <c r="F733" s="367"/>
      <c r="G733" s="367"/>
      <c r="H733" s="46"/>
      <c r="I733" s="46"/>
      <c r="J733" s="47"/>
      <c r="K733" s="46"/>
      <c r="L733" s="47"/>
      <c r="M733" s="148"/>
    </row>
    <row r="734" spans="2:13" ht="18">
      <c r="B734" s="551"/>
      <c r="C734" s="557"/>
      <c r="D734" s="551"/>
      <c r="E734" s="426"/>
      <c r="F734" s="367"/>
      <c r="G734" s="367"/>
      <c r="H734" s="46"/>
      <c r="I734" s="46"/>
      <c r="J734" s="47"/>
      <c r="K734" s="46"/>
      <c r="L734" s="47"/>
      <c r="M734" s="148"/>
    </row>
    <row r="735" spans="2:13" ht="18">
      <c r="B735" s="551"/>
      <c r="C735" s="557"/>
      <c r="D735" s="551"/>
      <c r="E735" s="426"/>
      <c r="F735" s="367"/>
      <c r="G735" s="367"/>
      <c r="H735" s="46"/>
      <c r="I735" s="46"/>
      <c r="J735" s="47"/>
      <c r="K735" s="46"/>
      <c r="L735" s="47"/>
      <c r="M735" s="148"/>
    </row>
  </sheetData>
  <sheetProtection/>
  <mergeCells count="238">
    <mergeCell ref="B84:B105"/>
    <mergeCell ref="C84:C105"/>
    <mergeCell ref="D84:D105"/>
    <mergeCell ref="M84:M105"/>
    <mergeCell ref="B127:B128"/>
    <mergeCell ref="C127:C128"/>
    <mergeCell ref="D127:D128"/>
    <mergeCell ref="M127:M128"/>
    <mergeCell ref="B120:B125"/>
    <mergeCell ref="C82:C83"/>
    <mergeCell ref="D169:D176"/>
    <mergeCell ref="B169:B176"/>
    <mergeCell ref="M120:M125"/>
    <mergeCell ref="B563:B568"/>
    <mergeCell ref="C563:C568"/>
    <mergeCell ref="D563:D568"/>
    <mergeCell ref="M82:M83"/>
    <mergeCell ref="D82:D83"/>
    <mergeCell ref="M563:M568"/>
    <mergeCell ref="B109:B110"/>
    <mergeCell ref="M553:M561"/>
    <mergeCell ref="M307:M321"/>
    <mergeCell ref="B82:B83"/>
    <mergeCell ref="M60:M61"/>
    <mergeCell ref="B64:B70"/>
    <mergeCell ref="B553:B561"/>
    <mergeCell ref="C553:C561"/>
    <mergeCell ref="D553:D561"/>
    <mergeCell ref="M169:M176"/>
    <mergeCell ref="M27:M55"/>
    <mergeCell ref="C255:C256"/>
    <mergeCell ref="D255:D256"/>
    <mergeCell ref="M255:M256"/>
    <mergeCell ref="M56:M59"/>
    <mergeCell ref="M137:M138"/>
    <mergeCell ref="C109:C110"/>
    <mergeCell ref="C27:C55"/>
    <mergeCell ref="D27:D55"/>
    <mergeCell ref="C64:C70"/>
    <mergeCell ref="C60:C61"/>
    <mergeCell ref="D60:D61"/>
    <mergeCell ref="B544:B552"/>
    <mergeCell ref="C544:C552"/>
    <mergeCell ref="D544:D552"/>
    <mergeCell ref="D134:D135"/>
    <mergeCell ref="B280:B306"/>
    <mergeCell ref="B257:B259"/>
    <mergeCell ref="C214:C232"/>
    <mergeCell ref="B134:B135"/>
    <mergeCell ref="M544:M552"/>
    <mergeCell ref="B530:B539"/>
    <mergeCell ref="C530:C539"/>
    <mergeCell ref="D530:D539"/>
    <mergeCell ref="M530:M539"/>
    <mergeCell ref="M134:M135"/>
    <mergeCell ref="B521:B529"/>
    <mergeCell ref="C521:C529"/>
    <mergeCell ref="D521:D529"/>
    <mergeCell ref="M521:M529"/>
    <mergeCell ref="M508:M517"/>
    <mergeCell ref="D139:D152"/>
    <mergeCell ref="B518:B520"/>
    <mergeCell ref="C518:C520"/>
    <mergeCell ref="D518:D520"/>
    <mergeCell ref="M518:M520"/>
    <mergeCell ref="C169:C176"/>
    <mergeCell ref="B182:B184"/>
    <mergeCell ref="M182:M184"/>
    <mergeCell ref="B195:B213"/>
    <mergeCell ref="B9:E9"/>
    <mergeCell ref="C134:C135"/>
    <mergeCell ref="B214:B232"/>
    <mergeCell ref="B255:B256"/>
    <mergeCell ref="B56:B59"/>
    <mergeCell ref="C56:C59"/>
    <mergeCell ref="D56:D59"/>
    <mergeCell ref="B60:B61"/>
    <mergeCell ref="C195:C213"/>
    <mergeCell ref="B27:B55"/>
    <mergeCell ref="C730:D730"/>
    <mergeCell ref="F2:M3"/>
    <mergeCell ref="F4:M5"/>
    <mergeCell ref="F6:M7"/>
    <mergeCell ref="F9:M9"/>
    <mergeCell ref="F10:M10"/>
    <mergeCell ref="M109:M110"/>
    <mergeCell ref="D2:E7"/>
    <mergeCell ref="C182:C184"/>
    <mergeCell ref="D182:D184"/>
    <mergeCell ref="B10:E10"/>
    <mergeCell ref="B12:M12"/>
    <mergeCell ref="D64:D70"/>
    <mergeCell ref="M64:M70"/>
    <mergeCell ref="D109:D110"/>
    <mergeCell ref="C139:C152"/>
    <mergeCell ref="M24:M26"/>
    <mergeCell ref="C24:C26"/>
    <mergeCell ref="D24:D26"/>
    <mergeCell ref="C120:C125"/>
    <mergeCell ref="B233:B239"/>
    <mergeCell ref="M250:M253"/>
    <mergeCell ref="C500:E500"/>
    <mergeCell ref="C137:C138"/>
    <mergeCell ref="B139:B152"/>
    <mergeCell ref="B190:B194"/>
    <mergeCell ref="C190:C194"/>
    <mergeCell ref="D190:D194"/>
    <mergeCell ref="M190:M194"/>
    <mergeCell ref="C323:E323"/>
    <mergeCell ref="C325:C326"/>
    <mergeCell ref="M257:M259"/>
    <mergeCell ref="C257:C259"/>
    <mergeCell ref="B307:B321"/>
    <mergeCell ref="C327:C328"/>
    <mergeCell ref="C332:C359"/>
    <mergeCell ref="B266:B269"/>
    <mergeCell ref="C266:C269"/>
    <mergeCell ref="C307:C321"/>
    <mergeCell ref="D257:D259"/>
    <mergeCell ref="D404:D414"/>
    <mergeCell ref="B415:B444"/>
    <mergeCell ref="C330:E330"/>
    <mergeCell ref="D327:D328"/>
    <mergeCell ref="M327:M328"/>
    <mergeCell ref="M332:M359"/>
    <mergeCell ref="D332:D359"/>
    <mergeCell ref="M404:M414"/>
    <mergeCell ref="B332:B359"/>
    <mergeCell ref="B250:B253"/>
    <mergeCell ref="D388:D402"/>
    <mergeCell ref="D415:D444"/>
    <mergeCell ref="M415:M444"/>
    <mergeCell ref="C445:C474"/>
    <mergeCell ref="B445:B474"/>
    <mergeCell ref="D445:D474"/>
    <mergeCell ref="B404:B414"/>
    <mergeCell ref="C415:C444"/>
    <mergeCell ref="C404:C414"/>
    <mergeCell ref="D214:D232"/>
    <mergeCell ref="M233:M239"/>
    <mergeCell ref="D195:D213"/>
    <mergeCell ref="C250:C253"/>
    <mergeCell ref="D250:D253"/>
    <mergeCell ref="B388:B402"/>
    <mergeCell ref="C388:C402"/>
    <mergeCell ref="D325:D326"/>
    <mergeCell ref="D307:D321"/>
    <mergeCell ref="B325:B326"/>
    <mergeCell ref="C233:C239"/>
    <mergeCell ref="D280:D306"/>
    <mergeCell ref="M195:M213"/>
    <mergeCell ref="D233:D239"/>
    <mergeCell ref="M214:M232"/>
    <mergeCell ref="D266:D269"/>
    <mergeCell ref="M266:M269"/>
    <mergeCell ref="M280:M306"/>
    <mergeCell ref="C276:E276"/>
    <mergeCell ref="C280:C306"/>
    <mergeCell ref="M163:M168"/>
    <mergeCell ref="D120:D125"/>
    <mergeCell ref="C177:C181"/>
    <mergeCell ref="D177:D181"/>
    <mergeCell ref="M177:M181"/>
    <mergeCell ref="B185:B189"/>
    <mergeCell ref="C185:C189"/>
    <mergeCell ref="D185:D189"/>
    <mergeCell ref="M185:M189"/>
    <mergeCell ref="B177:B181"/>
    <mergeCell ref="D360:D387"/>
    <mergeCell ref="M388:M402"/>
    <mergeCell ref="M325:M326"/>
    <mergeCell ref="M445:M474"/>
    <mergeCell ref="B24:B26"/>
    <mergeCell ref="M139:M152"/>
    <mergeCell ref="B137:B138"/>
    <mergeCell ref="B163:B168"/>
    <mergeCell ref="C163:C168"/>
    <mergeCell ref="D163:D168"/>
    <mergeCell ref="B488:B494"/>
    <mergeCell ref="C488:C494"/>
    <mergeCell ref="D488:D494"/>
    <mergeCell ref="M488:M494"/>
    <mergeCell ref="B327:B328"/>
    <mergeCell ref="B360:B387"/>
    <mergeCell ref="B476:B487"/>
    <mergeCell ref="C476:C487"/>
    <mergeCell ref="M360:M387"/>
    <mergeCell ref="C360:C387"/>
    <mergeCell ref="B569:B570"/>
    <mergeCell ref="C569:C570"/>
    <mergeCell ref="D569:D570"/>
    <mergeCell ref="M569:M570"/>
    <mergeCell ref="D476:D487"/>
    <mergeCell ref="M476:M487"/>
    <mergeCell ref="C496:E496"/>
    <mergeCell ref="B508:B517"/>
    <mergeCell ref="C508:C517"/>
    <mergeCell ref="D508:D517"/>
    <mergeCell ref="B575:B590"/>
    <mergeCell ref="C575:C590"/>
    <mergeCell ref="D575:D590"/>
    <mergeCell ref="M575:M590"/>
    <mergeCell ref="B595:B605"/>
    <mergeCell ref="C595:C605"/>
    <mergeCell ref="D595:D605"/>
    <mergeCell ref="M595:M605"/>
    <mergeCell ref="B616:B617"/>
    <mergeCell ref="C616:C617"/>
    <mergeCell ref="D616:D617"/>
    <mergeCell ref="M616:M617"/>
    <mergeCell ref="B643:B655"/>
    <mergeCell ref="C643:C655"/>
    <mergeCell ref="D643:D655"/>
    <mergeCell ref="M643:M655"/>
    <mergeCell ref="B656:B667"/>
    <mergeCell ref="C656:C667"/>
    <mergeCell ref="D656:D667"/>
    <mergeCell ref="M656:M667"/>
    <mergeCell ref="B676:B677"/>
    <mergeCell ref="C676:C677"/>
    <mergeCell ref="D676:D677"/>
    <mergeCell ref="M676:M677"/>
    <mergeCell ref="B678:B680"/>
    <mergeCell ref="C678:C680"/>
    <mergeCell ref="D678:D680"/>
    <mergeCell ref="M678:M680"/>
    <mergeCell ref="B684:B698"/>
    <mergeCell ref="C684:C698"/>
    <mergeCell ref="D684:D698"/>
    <mergeCell ref="M684:M698"/>
    <mergeCell ref="B699:B713"/>
    <mergeCell ref="C699:C713"/>
    <mergeCell ref="D699:D713"/>
    <mergeCell ref="M699:M713"/>
    <mergeCell ref="B717:B719"/>
    <mergeCell ref="C717:C719"/>
    <mergeCell ref="D717:D719"/>
    <mergeCell ref="M717:M7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/>
  <dimension ref="B1:J253"/>
  <sheetViews>
    <sheetView view="pageBreakPreview" zoomScale="82" zoomScaleSheetLayoutView="82" zoomScalePageLayoutView="0" workbookViewId="0" topLeftCell="A1">
      <selection activeCell="B6" sqref="B6:E6"/>
    </sheetView>
  </sheetViews>
  <sheetFormatPr defaultColWidth="9.140625" defaultRowHeight="18" customHeight="1"/>
  <cols>
    <col min="1" max="1" width="4.7109375" style="124" customWidth="1"/>
    <col min="2" max="2" width="18.7109375" style="146" customWidth="1"/>
    <col min="3" max="3" width="54.00390625" style="124" customWidth="1"/>
    <col min="4" max="4" width="9.57421875" style="143" customWidth="1"/>
    <col min="5" max="5" width="9.7109375" style="147" customWidth="1"/>
    <col min="6" max="6" width="17.00390625" style="145" customWidth="1"/>
    <col min="7" max="7" width="19.140625" style="145" customWidth="1"/>
    <col min="8" max="8" width="15.00390625" style="124" customWidth="1"/>
    <col min="9" max="9" width="14.7109375" style="124" customWidth="1"/>
    <col min="10" max="10" width="0.13671875" style="124" customWidth="1"/>
    <col min="11" max="11" width="17.7109375" style="124" customWidth="1"/>
    <col min="12" max="16384" width="9.140625" style="124" customWidth="1"/>
  </cols>
  <sheetData>
    <row r="1" spans="2:10" ht="18" customHeight="1">
      <c r="B1" s="21"/>
      <c r="C1" s="17"/>
      <c r="D1" s="22"/>
      <c r="E1" s="23"/>
      <c r="F1" s="24"/>
      <c r="G1" s="24"/>
      <c r="H1" s="17"/>
      <c r="I1" s="17"/>
      <c r="J1" s="17"/>
    </row>
    <row r="2" spans="2:10" s="126" customFormat="1" ht="39.75" customHeight="1">
      <c r="B2" s="812"/>
      <c r="C2" s="813"/>
      <c r="D2" s="811" t="s">
        <v>40</v>
      </c>
      <c r="E2" s="811"/>
      <c r="F2" s="811"/>
      <c r="G2" s="811"/>
      <c r="H2" s="811"/>
      <c r="I2" s="811"/>
      <c r="J2" s="125"/>
    </row>
    <row r="3" spans="2:10" s="126" customFormat="1" ht="39.75" customHeight="1">
      <c r="B3" s="814"/>
      <c r="C3" s="815"/>
      <c r="D3" s="809" t="s">
        <v>41</v>
      </c>
      <c r="E3" s="810"/>
      <c r="F3" s="810"/>
      <c r="G3" s="810"/>
      <c r="H3" s="810"/>
      <c r="I3" s="810"/>
      <c r="J3" s="125"/>
    </row>
    <row r="4" spans="2:10" s="126" customFormat="1" ht="39.75" customHeight="1">
      <c r="B4" s="816"/>
      <c r="C4" s="817"/>
      <c r="D4" s="811" t="s">
        <v>29</v>
      </c>
      <c r="E4" s="811"/>
      <c r="F4" s="811"/>
      <c r="G4" s="811"/>
      <c r="H4" s="811"/>
      <c r="I4" s="811"/>
      <c r="J4" s="125"/>
    </row>
    <row r="5" spans="2:10" s="126" customFormat="1" ht="7.5" customHeight="1">
      <c r="B5" s="656"/>
      <c r="C5" s="656"/>
      <c r="D5" s="125"/>
      <c r="E5" s="125"/>
      <c r="F5" s="125"/>
      <c r="G5" s="125"/>
      <c r="H5" s="125"/>
      <c r="I5" s="125"/>
      <c r="J5" s="125"/>
    </row>
    <row r="6" spans="2:10" ht="24.75" customHeight="1">
      <c r="B6" s="877" t="s">
        <v>758</v>
      </c>
      <c r="C6" s="877"/>
      <c r="D6" s="877"/>
      <c r="E6" s="877"/>
      <c r="F6" s="878" t="s">
        <v>365</v>
      </c>
      <c r="G6" s="878"/>
      <c r="H6" s="878"/>
      <c r="I6" s="878"/>
      <c r="J6" s="655"/>
    </row>
    <row r="7" spans="2:10" ht="24.75" customHeight="1">
      <c r="B7" s="877" t="s">
        <v>90</v>
      </c>
      <c r="C7" s="877"/>
      <c r="D7" s="877"/>
      <c r="E7" s="877"/>
      <c r="F7" s="879" t="s">
        <v>293</v>
      </c>
      <c r="G7" s="879"/>
      <c r="H7" s="879"/>
      <c r="I7" s="879"/>
      <c r="J7" s="127"/>
    </row>
    <row r="8" spans="2:10" ht="7.5" customHeight="1" thickBot="1">
      <c r="B8" s="128"/>
      <c r="C8" s="128"/>
      <c r="D8" s="128"/>
      <c r="E8" s="128"/>
      <c r="F8" s="129"/>
      <c r="G8" s="129"/>
      <c r="H8" s="129"/>
      <c r="I8" s="129"/>
      <c r="J8" s="130"/>
    </row>
    <row r="9" spans="2:10" ht="30" customHeight="1" thickBot="1">
      <c r="B9" s="880" t="s">
        <v>92</v>
      </c>
      <c r="C9" s="881"/>
      <c r="D9" s="881"/>
      <c r="E9" s="881"/>
      <c r="F9" s="881"/>
      <c r="G9" s="881"/>
      <c r="H9" s="881"/>
      <c r="I9" s="882"/>
      <c r="J9" s="130"/>
    </row>
    <row r="10" spans="2:10" s="132" customFormat="1" ht="7.5" customHeight="1" thickBot="1">
      <c r="B10" s="128"/>
      <c r="C10" s="128"/>
      <c r="D10" s="128"/>
      <c r="E10" s="128"/>
      <c r="F10" s="128"/>
      <c r="G10" s="128"/>
      <c r="H10" s="128"/>
      <c r="I10" s="128"/>
      <c r="J10" s="131"/>
    </row>
    <row r="11" spans="2:10" ht="18.75" customHeight="1" thickBot="1">
      <c r="B11" s="883" t="s">
        <v>93</v>
      </c>
      <c r="C11" s="884"/>
      <c r="D11" s="885">
        <f>'LEIS SOCIAIS'!F54/100</f>
        <v>0.8740999999999999</v>
      </c>
      <c r="E11" s="885"/>
      <c r="F11" s="886"/>
      <c r="G11" s="886"/>
      <c r="H11" s="886"/>
      <c r="I11" s="887"/>
      <c r="J11" s="133"/>
    </row>
    <row r="12" spans="2:10" ht="7.5" customHeight="1" thickBot="1">
      <c r="B12" s="858"/>
      <c r="C12" s="858"/>
      <c r="D12" s="858"/>
      <c r="E12" s="858"/>
      <c r="F12" s="858"/>
      <c r="G12" s="858"/>
      <c r="H12" s="858"/>
      <c r="I12" s="858"/>
      <c r="J12" s="134"/>
    </row>
    <row r="13" spans="2:10" ht="18.75" customHeight="1">
      <c r="B13" s="836" t="s">
        <v>317</v>
      </c>
      <c r="C13" s="837"/>
      <c r="D13" s="837"/>
      <c r="E13" s="837"/>
      <c r="F13" s="837"/>
      <c r="G13" s="837"/>
      <c r="H13" s="837"/>
      <c r="I13" s="838"/>
      <c r="J13" s="134"/>
    </row>
    <row r="14" spans="2:10" ht="18.75" customHeight="1">
      <c r="B14" s="841" t="s">
        <v>94</v>
      </c>
      <c r="C14" s="842"/>
      <c r="D14" s="138">
        <f>I21</f>
        <v>7.71</v>
      </c>
      <c r="E14" s="139"/>
      <c r="F14" s="139"/>
      <c r="G14" s="140"/>
      <c r="H14" s="140"/>
      <c r="I14" s="405" t="s">
        <v>122</v>
      </c>
      <c r="J14" s="134"/>
    </row>
    <row r="15" spans="2:10" ht="18.75" customHeight="1">
      <c r="B15" s="819"/>
      <c r="C15" s="820"/>
      <c r="D15" s="820"/>
      <c r="E15" s="820"/>
      <c r="F15" s="820"/>
      <c r="G15" s="820"/>
      <c r="H15" s="820"/>
      <c r="I15" s="821"/>
      <c r="J15" s="134"/>
    </row>
    <row r="16" spans="2:10" ht="18.75" customHeight="1">
      <c r="B16" s="409" t="s">
        <v>35</v>
      </c>
      <c r="C16" s="157" t="s">
        <v>95</v>
      </c>
      <c r="D16" s="157"/>
      <c r="E16" s="157"/>
      <c r="F16" s="157" t="s">
        <v>3</v>
      </c>
      <c r="G16" s="157" t="s">
        <v>96</v>
      </c>
      <c r="H16" s="157" t="s">
        <v>97</v>
      </c>
      <c r="I16" s="410" t="s">
        <v>98</v>
      </c>
      <c r="J16" s="134"/>
    </row>
    <row r="17" spans="2:10" ht="18.75" customHeight="1">
      <c r="B17" s="822" t="s">
        <v>99</v>
      </c>
      <c r="C17" s="823"/>
      <c r="D17" s="823"/>
      <c r="E17" s="823"/>
      <c r="F17" s="823"/>
      <c r="G17" s="823"/>
      <c r="H17" s="823"/>
      <c r="I17" s="824"/>
      <c r="J17" s="134"/>
    </row>
    <row r="18" spans="2:10" ht="25.5" customHeight="1">
      <c r="B18" s="402" t="s">
        <v>108</v>
      </c>
      <c r="C18" s="851" t="s">
        <v>109</v>
      </c>
      <c r="D18" s="851"/>
      <c r="E18" s="851"/>
      <c r="F18" s="135" t="s">
        <v>100</v>
      </c>
      <c r="G18" s="136">
        <v>0.7</v>
      </c>
      <c r="H18" s="137">
        <v>9.76</v>
      </c>
      <c r="I18" s="406">
        <f>ROUND(G18*H18,2)</f>
        <v>6.83</v>
      </c>
      <c r="J18" s="134"/>
    </row>
    <row r="19" spans="2:10" ht="18.75" customHeight="1">
      <c r="B19" s="402" t="s">
        <v>110</v>
      </c>
      <c r="C19" s="851" t="s">
        <v>111</v>
      </c>
      <c r="D19" s="851"/>
      <c r="E19" s="851"/>
      <c r="F19" s="135" t="s">
        <v>100</v>
      </c>
      <c r="G19" s="136">
        <v>0.07</v>
      </c>
      <c r="H19" s="137">
        <v>12.54</v>
      </c>
      <c r="I19" s="406">
        <f>ROUND(G19*H19,2)</f>
        <v>0.88</v>
      </c>
      <c r="J19" s="134"/>
    </row>
    <row r="20" spans="2:10" ht="18.75" customHeight="1">
      <c r="B20" s="829"/>
      <c r="C20" s="830"/>
      <c r="D20" s="830"/>
      <c r="E20" s="830"/>
      <c r="F20" s="830"/>
      <c r="G20" s="830"/>
      <c r="H20" s="830"/>
      <c r="I20" s="831"/>
      <c r="J20" s="134"/>
    </row>
    <row r="21" spans="2:10" ht="18.75" customHeight="1" thickBot="1">
      <c r="B21" s="832" t="s">
        <v>294</v>
      </c>
      <c r="C21" s="833"/>
      <c r="D21" s="833"/>
      <c r="E21" s="833"/>
      <c r="F21" s="833"/>
      <c r="G21" s="833"/>
      <c r="H21" s="833"/>
      <c r="I21" s="408">
        <f>SUM(I18:I19)</f>
        <v>7.71</v>
      </c>
      <c r="J21" s="134"/>
    </row>
    <row r="22" spans="2:10" ht="18.75" customHeight="1" thickBot="1">
      <c r="B22" s="513"/>
      <c r="C22" s="513"/>
      <c r="D22" s="513"/>
      <c r="E22" s="513"/>
      <c r="F22" s="513"/>
      <c r="G22" s="513"/>
      <c r="H22" s="513"/>
      <c r="I22" s="513"/>
      <c r="J22" s="134"/>
    </row>
    <row r="23" spans="2:10" ht="18.75" customHeight="1">
      <c r="B23" s="836" t="s">
        <v>318</v>
      </c>
      <c r="C23" s="837"/>
      <c r="D23" s="837"/>
      <c r="E23" s="837"/>
      <c r="F23" s="837"/>
      <c r="G23" s="837"/>
      <c r="H23" s="837"/>
      <c r="I23" s="838"/>
      <c r="J23" s="134"/>
    </row>
    <row r="24" spans="2:10" ht="18.75" customHeight="1">
      <c r="B24" s="841" t="s">
        <v>94</v>
      </c>
      <c r="C24" s="842"/>
      <c r="D24" s="138">
        <f>I31</f>
        <v>14.32</v>
      </c>
      <c r="E24" s="139"/>
      <c r="F24" s="139"/>
      <c r="G24" s="140"/>
      <c r="H24" s="140"/>
      <c r="I24" s="405" t="s">
        <v>122</v>
      </c>
      <c r="J24" s="134"/>
    </row>
    <row r="25" spans="2:10" ht="18.75" customHeight="1">
      <c r="B25" s="819"/>
      <c r="C25" s="820"/>
      <c r="D25" s="820"/>
      <c r="E25" s="820"/>
      <c r="F25" s="820"/>
      <c r="G25" s="820"/>
      <c r="H25" s="820"/>
      <c r="I25" s="821"/>
      <c r="J25" s="134"/>
    </row>
    <row r="26" spans="2:10" ht="18.75" customHeight="1">
      <c r="B26" s="409" t="s">
        <v>35</v>
      </c>
      <c r="C26" s="157" t="s">
        <v>95</v>
      </c>
      <c r="D26" s="157"/>
      <c r="E26" s="157"/>
      <c r="F26" s="157" t="s">
        <v>3</v>
      </c>
      <c r="G26" s="157" t="s">
        <v>96</v>
      </c>
      <c r="H26" s="157" t="s">
        <v>97</v>
      </c>
      <c r="I26" s="410" t="s">
        <v>98</v>
      </c>
      <c r="J26" s="134"/>
    </row>
    <row r="27" spans="2:10" ht="18.75" customHeight="1">
      <c r="B27" s="822" t="s">
        <v>99</v>
      </c>
      <c r="C27" s="823"/>
      <c r="D27" s="823"/>
      <c r="E27" s="823"/>
      <c r="F27" s="823"/>
      <c r="G27" s="823"/>
      <c r="H27" s="823"/>
      <c r="I27" s="824"/>
      <c r="J27" s="134"/>
    </row>
    <row r="28" spans="2:10" ht="18.75" customHeight="1">
      <c r="B28" s="402" t="s">
        <v>108</v>
      </c>
      <c r="C28" s="851" t="s">
        <v>109</v>
      </c>
      <c r="D28" s="851"/>
      <c r="E28" s="851"/>
      <c r="F28" s="135" t="s">
        <v>100</v>
      </c>
      <c r="G28" s="136">
        <v>1.3</v>
      </c>
      <c r="H28" s="137">
        <v>9.76</v>
      </c>
      <c r="I28" s="406">
        <f>ROUND(G28*H28,2)</f>
        <v>12.69</v>
      </c>
      <c r="J28" s="134"/>
    </row>
    <row r="29" spans="2:10" ht="18.75" customHeight="1">
      <c r="B29" s="402" t="s">
        <v>110</v>
      </c>
      <c r="C29" s="851" t="s">
        <v>111</v>
      </c>
      <c r="D29" s="851"/>
      <c r="E29" s="851"/>
      <c r="F29" s="135" t="s">
        <v>100</v>
      </c>
      <c r="G29" s="136">
        <v>0.13</v>
      </c>
      <c r="H29" s="137">
        <v>12.54</v>
      </c>
      <c r="I29" s="406">
        <f>ROUND(G29*H29,2)</f>
        <v>1.63</v>
      </c>
      <c r="J29" s="134"/>
    </row>
    <row r="30" spans="2:10" ht="18.75" customHeight="1">
      <c r="B30" s="829"/>
      <c r="C30" s="830"/>
      <c r="D30" s="830"/>
      <c r="E30" s="830"/>
      <c r="F30" s="830"/>
      <c r="G30" s="830"/>
      <c r="H30" s="830"/>
      <c r="I30" s="831"/>
      <c r="J30" s="134"/>
    </row>
    <row r="31" spans="2:10" ht="18.75" customHeight="1" thickBot="1">
      <c r="B31" s="832" t="s">
        <v>294</v>
      </c>
      <c r="C31" s="833"/>
      <c r="D31" s="833"/>
      <c r="E31" s="833"/>
      <c r="F31" s="833"/>
      <c r="G31" s="833"/>
      <c r="H31" s="833"/>
      <c r="I31" s="408">
        <f>SUM(I28:I29)</f>
        <v>14.32</v>
      </c>
      <c r="J31" s="134"/>
    </row>
    <row r="32" spans="2:10" ht="18.75" customHeight="1" thickBot="1">
      <c r="B32" s="514"/>
      <c r="C32" s="514"/>
      <c r="D32" s="514"/>
      <c r="E32" s="514"/>
      <c r="F32" s="514"/>
      <c r="G32" s="514"/>
      <c r="H32" s="514"/>
      <c r="I32" s="515"/>
      <c r="J32" s="134"/>
    </row>
    <row r="33" spans="2:10" ht="18.75" customHeight="1">
      <c r="B33" s="836" t="s">
        <v>319</v>
      </c>
      <c r="C33" s="837"/>
      <c r="D33" s="837"/>
      <c r="E33" s="837"/>
      <c r="F33" s="837"/>
      <c r="G33" s="837"/>
      <c r="H33" s="837"/>
      <c r="I33" s="838"/>
      <c r="J33" s="134"/>
    </row>
    <row r="34" spans="2:10" ht="18.75" customHeight="1">
      <c r="B34" s="841" t="s">
        <v>94</v>
      </c>
      <c r="C34" s="842"/>
      <c r="D34" s="138">
        <f>I41</f>
        <v>27.54</v>
      </c>
      <c r="E34" s="139"/>
      <c r="F34" s="139"/>
      <c r="G34" s="140"/>
      <c r="H34" s="140"/>
      <c r="I34" s="405" t="s">
        <v>122</v>
      </c>
      <c r="J34" s="134"/>
    </row>
    <row r="35" spans="2:10" ht="18.75" customHeight="1">
      <c r="B35" s="819"/>
      <c r="C35" s="820"/>
      <c r="D35" s="820"/>
      <c r="E35" s="820"/>
      <c r="F35" s="820"/>
      <c r="G35" s="820"/>
      <c r="H35" s="820"/>
      <c r="I35" s="821"/>
      <c r="J35" s="134"/>
    </row>
    <row r="36" spans="2:10" ht="18.75" customHeight="1">
      <c r="B36" s="409" t="s">
        <v>35</v>
      </c>
      <c r="C36" s="157" t="s">
        <v>95</v>
      </c>
      <c r="D36" s="157"/>
      <c r="E36" s="157"/>
      <c r="F36" s="157" t="s">
        <v>3</v>
      </c>
      <c r="G36" s="157" t="s">
        <v>96</v>
      </c>
      <c r="H36" s="157" t="s">
        <v>97</v>
      </c>
      <c r="I36" s="410" t="s">
        <v>98</v>
      </c>
      <c r="J36" s="134"/>
    </row>
    <row r="37" spans="2:10" ht="18.75" customHeight="1">
      <c r="B37" s="822" t="s">
        <v>99</v>
      </c>
      <c r="C37" s="823"/>
      <c r="D37" s="823"/>
      <c r="E37" s="823"/>
      <c r="F37" s="823"/>
      <c r="G37" s="823"/>
      <c r="H37" s="823"/>
      <c r="I37" s="824"/>
      <c r="J37" s="134"/>
    </row>
    <row r="38" spans="2:10" ht="18.75" customHeight="1">
      <c r="B38" s="402" t="s">
        <v>108</v>
      </c>
      <c r="C38" s="851" t="s">
        <v>109</v>
      </c>
      <c r="D38" s="851"/>
      <c r="E38" s="851"/>
      <c r="F38" s="135" t="s">
        <v>100</v>
      </c>
      <c r="G38" s="136">
        <v>2.5</v>
      </c>
      <c r="H38" s="137">
        <v>9.76</v>
      </c>
      <c r="I38" s="406">
        <f>ROUND(G38*H38,2)</f>
        <v>24.4</v>
      </c>
      <c r="J38" s="134"/>
    </row>
    <row r="39" spans="2:10" ht="18.75" customHeight="1">
      <c r="B39" s="402" t="s">
        <v>110</v>
      </c>
      <c r="C39" s="851" t="s">
        <v>111</v>
      </c>
      <c r="D39" s="851"/>
      <c r="E39" s="851"/>
      <c r="F39" s="135" t="s">
        <v>100</v>
      </c>
      <c r="G39" s="136">
        <v>0.25</v>
      </c>
      <c r="H39" s="137">
        <v>12.54</v>
      </c>
      <c r="I39" s="406">
        <f>ROUND(G39*H39,2)</f>
        <v>3.14</v>
      </c>
      <c r="J39" s="134"/>
    </row>
    <row r="40" spans="2:10" ht="18.75" customHeight="1">
      <c r="B40" s="829"/>
      <c r="C40" s="830"/>
      <c r="D40" s="830"/>
      <c r="E40" s="830"/>
      <c r="F40" s="830"/>
      <c r="G40" s="830"/>
      <c r="H40" s="830"/>
      <c r="I40" s="831"/>
      <c r="J40" s="134"/>
    </row>
    <row r="41" spans="2:10" ht="18.75" customHeight="1" thickBot="1">
      <c r="B41" s="832" t="s">
        <v>294</v>
      </c>
      <c r="C41" s="833"/>
      <c r="D41" s="833"/>
      <c r="E41" s="833"/>
      <c r="F41" s="833"/>
      <c r="G41" s="833"/>
      <c r="H41" s="833"/>
      <c r="I41" s="408">
        <f>SUM(I38:I39)</f>
        <v>27.54</v>
      </c>
      <c r="J41" s="134"/>
    </row>
    <row r="42" spans="2:10" ht="18.75" customHeight="1" thickBot="1">
      <c r="B42" s="154"/>
      <c r="C42" s="154"/>
      <c r="D42" s="154"/>
      <c r="E42" s="154"/>
      <c r="F42" s="154"/>
      <c r="G42" s="154"/>
      <c r="H42" s="154"/>
      <c r="I42" s="268"/>
      <c r="J42" s="134"/>
    </row>
    <row r="43" spans="2:10" ht="18.75" customHeight="1">
      <c r="B43" s="836" t="s">
        <v>635</v>
      </c>
      <c r="C43" s="837"/>
      <c r="D43" s="837"/>
      <c r="E43" s="837"/>
      <c r="F43" s="837"/>
      <c r="G43" s="837"/>
      <c r="H43" s="837"/>
      <c r="I43" s="838"/>
      <c r="J43" s="134"/>
    </row>
    <row r="44" spans="2:10" ht="18.75" customHeight="1">
      <c r="B44" s="841" t="s">
        <v>94</v>
      </c>
      <c r="C44" s="842"/>
      <c r="D44" s="138">
        <f>I61</f>
        <v>603.35</v>
      </c>
      <c r="E44" s="139"/>
      <c r="F44" s="139"/>
      <c r="G44" s="140"/>
      <c r="H44" s="140"/>
      <c r="I44" s="405" t="s">
        <v>122</v>
      </c>
      <c r="J44" s="134"/>
    </row>
    <row r="45" spans="2:10" ht="18.75" customHeight="1">
      <c r="B45" s="819"/>
      <c r="C45" s="820"/>
      <c r="D45" s="820"/>
      <c r="E45" s="820"/>
      <c r="F45" s="820"/>
      <c r="G45" s="820"/>
      <c r="H45" s="820"/>
      <c r="I45" s="821"/>
      <c r="J45" s="134"/>
    </row>
    <row r="46" spans="2:10" ht="18.75" customHeight="1">
      <c r="B46" s="409" t="s">
        <v>35</v>
      </c>
      <c r="C46" s="157" t="s">
        <v>95</v>
      </c>
      <c r="D46" s="157"/>
      <c r="E46" s="157"/>
      <c r="F46" s="157" t="s">
        <v>3</v>
      </c>
      <c r="G46" s="157" t="s">
        <v>96</v>
      </c>
      <c r="H46" s="157" t="s">
        <v>97</v>
      </c>
      <c r="I46" s="410" t="s">
        <v>98</v>
      </c>
      <c r="J46" s="134"/>
    </row>
    <row r="47" spans="2:10" ht="18.75" customHeight="1">
      <c r="B47" s="822" t="s">
        <v>99</v>
      </c>
      <c r="C47" s="823"/>
      <c r="D47" s="823"/>
      <c r="E47" s="823"/>
      <c r="F47" s="823"/>
      <c r="G47" s="823"/>
      <c r="H47" s="823"/>
      <c r="I47" s="824"/>
      <c r="J47" s="134"/>
    </row>
    <row r="48" spans="2:10" ht="18.75" customHeight="1">
      <c r="B48" s="567" t="s">
        <v>636</v>
      </c>
      <c r="C48" s="818" t="s">
        <v>637</v>
      </c>
      <c r="D48" s="818"/>
      <c r="E48" s="818"/>
      <c r="F48" s="568" t="s">
        <v>106</v>
      </c>
      <c r="G48" s="141">
        <v>3.75</v>
      </c>
      <c r="H48" s="141">
        <v>12.39</v>
      </c>
      <c r="I48" s="406">
        <f>ROUND(G48*H48,2)</f>
        <v>46.46</v>
      </c>
      <c r="J48" s="134"/>
    </row>
    <row r="49" spans="2:10" ht="18.75" customHeight="1">
      <c r="B49" s="402" t="s">
        <v>108</v>
      </c>
      <c r="C49" s="851" t="s">
        <v>109</v>
      </c>
      <c r="D49" s="851"/>
      <c r="E49" s="851"/>
      <c r="F49" s="135" t="s">
        <v>100</v>
      </c>
      <c r="G49" s="141">
        <v>3.75</v>
      </c>
      <c r="H49" s="137">
        <v>9.76</v>
      </c>
      <c r="I49" s="406">
        <f>ROUND(G49*H49,2)</f>
        <v>36.6</v>
      </c>
      <c r="J49" s="134"/>
    </row>
    <row r="50" spans="2:10" ht="18.75" customHeight="1">
      <c r="B50" s="827" t="s">
        <v>101</v>
      </c>
      <c r="C50" s="828"/>
      <c r="D50" s="828"/>
      <c r="E50" s="828"/>
      <c r="F50" s="828"/>
      <c r="G50" s="828"/>
      <c r="H50" s="828"/>
      <c r="I50" s="407">
        <f>SUM(I48:I49)</f>
        <v>83.06</v>
      </c>
      <c r="J50" s="134"/>
    </row>
    <row r="51" spans="2:10" ht="18.75" customHeight="1">
      <c r="B51" s="563" t="s">
        <v>102</v>
      </c>
      <c r="C51" s="564"/>
      <c r="D51" s="564"/>
      <c r="E51" s="564"/>
      <c r="F51" s="564"/>
      <c r="G51" s="564"/>
      <c r="H51" s="564"/>
      <c r="I51" s="565"/>
      <c r="J51" s="134"/>
    </row>
    <row r="52" spans="2:10" ht="29.25" customHeight="1">
      <c r="B52" s="567" t="s">
        <v>638</v>
      </c>
      <c r="C52" s="818" t="s">
        <v>639</v>
      </c>
      <c r="D52" s="818"/>
      <c r="E52" s="818"/>
      <c r="F52" s="568" t="s">
        <v>116</v>
      </c>
      <c r="G52" s="141">
        <v>5.6</v>
      </c>
      <c r="H52" s="141">
        <v>26.66</v>
      </c>
      <c r="I52" s="406">
        <f>ROUND(G52*H52,2)</f>
        <v>149.3</v>
      </c>
      <c r="J52" s="134"/>
    </row>
    <row r="53" spans="2:10" ht="26.25" customHeight="1">
      <c r="B53" s="567" t="s">
        <v>640</v>
      </c>
      <c r="C53" s="818" t="s">
        <v>641</v>
      </c>
      <c r="D53" s="818"/>
      <c r="E53" s="818"/>
      <c r="F53" s="568" t="s">
        <v>107</v>
      </c>
      <c r="G53" s="141">
        <v>3</v>
      </c>
      <c r="H53" s="141">
        <v>31.16</v>
      </c>
      <c r="I53" s="406">
        <f>ROUND(G53*H53,2)</f>
        <v>93.48</v>
      </c>
      <c r="J53" s="134"/>
    </row>
    <row r="54" spans="2:10" ht="26.25" customHeight="1">
      <c r="B54" s="567" t="s">
        <v>642</v>
      </c>
      <c r="C54" s="818" t="s">
        <v>643</v>
      </c>
      <c r="D54" s="818"/>
      <c r="E54" s="818"/>
      <c r="F54" s="568" t="s">
        <v>107</v>
      </c>
      <c r="G54" s="141">
        <v>1</v>
      </c>
      <c r="H54" s="141">
        <v>274.36</v>
      </c>
      <c r="I54" s="406">
        <f>ROUND(G54*H54,2)</f>
        <v>274.36</v>
      </c>
      <c r="J54" s="134"/>
    </row>
    <row r="55" spans="2:10" ht="18.75" customHeight="1">
      <c r="B55" s="567" t="s">
        <v>644</v>
      </c>
      <c r="C55" s="818" t="s">
        <v>645</v>
      </c>
      <c r="D55" s="818"/>
      <c r="E55" s="818"/>
      <c r="F55" s="568" t="s">
        <v>103</v>
      </c>
      <c r="G55" s="617">
        <v>0.004</v>
      </c>
      <c r="H55" s="141">
        <v>7.37</v>
      </c>
      <c r="I55" s="406">
        <f>ROUND(G55*H55,2)</f>
        <v>0.03</v>
      </c>
      <c r="J55" s="134"/>
    </row>
    <row r="56" spans="2:10" ht="18.75" customHeight="1">
      <c r="B56" s="827" t="s">
        <v>104</v>
      </c>
      <c r="C56" s="828"/>
      <c r="D56" s="828"/>
      <c r="E56" s="828"/>
      <c r="F56" s="828"/>
      <c r="G56" s="828"/>
      <c r="H56" s="828"/>
      <c r="I56" s="407">
        <f>SUM(I52:I55)</f>
        <v>517.1700000000001</v>
      </c>
      <c r="J56" s="134"/>
    </row>
    <row r="57" spans="2:10" ht="18.75" customHeight="1">
      <c r="B57" s="860" t="s">
        <v>646</v>
      </c>
      <c r="C57" s="861"/>
      <c r="D57" s="861"/>
      <c r="E57" s="861"/>
      <c r="F57" s="861"/>
      <c r="G57" s="861"/>
      <c r="H57" s="618"/>
      <c r="I57" s="619"/>
      <c r="J57" s="134"/>
    </row>
    <row r="58" spans="2:10" ht="27.75" customHeight="1">
      <c r="B58" s="567" t="s">
        <v>112</v>
      </c>
      <c r="C58" s="818" t="s">
        <v>647</v>
      </c>
      <c r="D58" s="818"/>
      <c r="E58" s="818"/>
      <c r="F58" s="568" t="s">
        <v>648</v>
      </c>
      <c r="G58" s="141">
        <v>0.01</v>
      </c>
      <c r="H58" s="141">
        <f>I75</f>
        <v>311.53000000000003</v>
      </c>
      <c r="I58" s="406">
        <f>ROUND(G58*H58,2)</f>
        <v>3.12</v>
      </c>
      <c r="J58" s="134"/>
    </row>
    <row r="59" spans="2:10" ht="18.75" customHeight="1">
      <c r="B59" s="827" t="s">
        <v>649</v>
      </c>
      <c r="C59" s="828"/>
      <c r="D59" s="828"/>
      <c r="E59" s="828"/>
      <c r="F59" s="828"/>
      <c r="G59" s="828"/>
      <c r="H59" s="828"/>
      <c r="I59" s="407">
        <f>SUM(I57:I58)</f>
        <v>3.12</v>
      </c>
      <c r="J59" s="134"/>
    </row>
    <row r="60" spans="2:10" ht="18.75" customHeight="1">
      <c r="B60" s="829"/>
      <c r="C60" s="830"/>
      <c r="D60" s="830"/>
      <c r="E60" s="830"/>
      <c r="F60" s="830"/>
      <c r="G60" s="830"/>
      <c r="H60" s="830"/>
      <c r="I60" s="831"/>
      <c r="J60" s="134"/>
    </row>
    <row r="61" spans="2:10" ht="18.75" customHeight="1" thickBot="1">
      <c r="B61" s="832" t="s">
        <v>294</v>
      </c>
      <c r="C61" s="833"/>
      <c r="D61" s="833"/>
      <c r="E61" s="833"/>
      <c r="F61" s="833"/>
      <c r="G61" s="833"/>
      <c r="H61" s="833"/>
      <c r="I61" s="408">
        <f>I50+I56+I59</f>
        <v>603.35</v>
      </c>
      <c r="J61" s="134"/>
    </row>
    <row r="62" spans="2:10" ht="18.75" customHeight="1" thickBot="1">
      <c r="B62" s="154"/>
      <c r="C62" s="154"/>
      <c r="D62" s="154"/>
      <c r="E62" s="154"/>
      <c r="F62" s="154"/>
      <c r="G62" s="154"/>
      <c r="H62" s="154"/>
      <c r="I62" s="268"/>
      <c r="J62" s="134"/>
    </row>
    <row r="63" spans="2:10" ht="27.75" customHeight="1">
      <c r="B63" s="836" t="s">
        <v>647</v>
      </c>
      <c r="C63" s="837"/>
      <c r="D63" s="837"/>
      <c r="E63" s="837"/>
      <c r="F63" s="837"/>
      <c r="G63" s="837"/>
      <c r="H63" s="837"/>
      <c r="I63" s="838"/>
      <c r="J63" s="134"/>
    </row>
    <row r="64" spans="2:10" ht="18.75" customHeight="1">
      <c r="B64" s="841" t="s">
        <v>94</v>
      </c>
      <c r="C64" s="842"/>
      <c r="D64" s="138">
        <f>I75</f>
        <v>311.53000000000003</v>
      </c>
      <c r="E64" s="139"/>
      <c r="F64" s="139"/>
      <c r="G64" s="140"/>
      <c r="H64" s="140"/>
      <c r="I64" s="405" t="s">
        <v>113</v>
      </c>
      <c r="J64" s="134"/>
    </row>
    <row r="65" spans="2:10" ht="18.75" customHeight="1">
      <c r="B65" s="819"/>
      <c r="C65" s="820"/>
      <c r="D65" s="820"/>
      <c r="E65" s="820"/>
      <c r="F65" s="820"/>
      <c r="G65" s="820"/>
      <c r="H65" s="820"/>
      <c r="I65" s="821"/>
      <c r="J65" s="134"/>
    </row>
    <row r="66" spans="2:10" ht="18.75" customHeight="1">
      <c r="B66" s="409" t="s">
        <v>35</v>
      </c>
      <c r="C66" s="157" t="s">
        <v>95</v>
      </c>
      <c r="D66" s="157"/>
      <c r="E66" s="157"/>
      <c r="F66" s="157" t="s">
        <v>3</v>
      </c>
      <c r="G66" s="157" t="s">
        <v>96</v>
      </c>
      <c r="H66" s="157" t="s">
        <v>97</v>
      </c>
      <c r="I66" s="410" t="s">
        <v>98</v>
      </c>
      <c r="J66" s="134"/>
    </row>
    <row r="67" spans="2:10" ht="18.75" customHeight="1">
      <c r="B67" s="822" t="s">
        <v>99</v>
      </c>
      <c r="C67" s="823"/>
      <c r="D67" s="823"/>
      <c r="E67" s="823"/>
      <c r="F67" s="823"/>
      <c r="G67" s="823"/>
      <c r="H67" s="823"/>
      <c r="I67" s="824"/>
      <c r="J67" s="134"/>
    </row>
    <row r="68" spans="2:10" ht="18.75" customHeight="1">
      <c r="B68" s="402" t="s">
        <v>108</v>
      </c>
      <c r="C68" s="851" t="s">
        <v>109</v>
      </c>
      <c r="D68" s="851"/>
      <c r="E68" s="851"/>
      <c r="F68" s="135" t="s">
        <v>100</v>
      </c>
      <c r="G68" s="141">
        <v>4</v>
      </c>
      <c r="H68" s="137">
        <v>9.76</v>
      </c>
      <c r="I68" s="406">
        <f>ROUND(G68*H68,2)</f>
        <v>39.04</v>
      </c>
      <c r="J68" s="134"/>
    </row>
    <row r="69" spans="2:10" ht="18.75" customHeight="1" thickBot="1">
      <c r="B69" s="862" t="s">
        <v>101</v>
      </c>
      <c r="C69" s="863"/>
      <c r="D69" s="863"/>
      <c r="E69" s="863"/>
      <c r="F69" s="863"/>
      <c r="G69" s="863"/>
      <c r="H69" s="863"/>
      <c r="I69" s="659">
        <f>SUM(I68:I68)</f>
        <v>39.04</v>
      </c>
      <c r="J69" s="134"/>
    </row>
    <row r="70" spans="2:10" ht="18.75" customHeight="1">
      <c r="B70" s="864" t="s">
        <v>102</v>
      </c>
      <c r="C70" s="865"/>
      <c r="D70" s="865"/>
      <c r="E70" s="865"/>
      <c r="F70" s="865"/>
      <c r="G70" s="865"/>
      <c r="H70" s="865"/>
      <c r="I70" s="866"/>
      <c r="J70" s="134"/>
    </row>
    <row r="71" spans="2:10" ht="18.75" customHeight="1">
      <c r="B71" s="650" t="s">
        <v>650</v>
      </c>
      <c r="C71" s="818" t="s">
        <v>651</v>
      </c>
      <c r="D71" s="818"/>
      <c r="E71" s="818"/>
      <c r="F71" s="651" t="s">
        <v>648</v>
      </c>
      <c r="G71" s="141">
        <v>1.08</v>
      </c>
      <c r="H71" s="141">
        <v>22.02</v>
      </c>
      <c r="I71" s="406">
        <f>ROUND(G71*H71,2)</f>
        <v>23.78</v>
      </c>
      <c r="J71" s="134"/>
    </row>
    <row r="72" spans="2:10" ht="18.75" customHeight="1">
      <c r="B72" s="650" t="s">
        <v>652</v>
      </c>
      <c r="C72" s="818" t="s">
        <v>653</v>
      </c>
      <c r="D72" s="818"/>
      <c r="E72" s="818"/>
      <c r="F72" s="651" t="s">
        <v>103</v>
      </c>
      <c r="G72" s="141">
        <v>452.2</v>
      </c>
      <c r="H72" s="141">
        <v>0.55</v>
      </c>
      <c r="I72" s="406">
        <f>ROUND(G72*H72,2)</f>
        <v>248.71</v>
      </c>
      <c r="J72" s="134"/>
    </row>
    <row r="73" spans="2:10" ht="18.75" customHeight="1">
      <c r="B73" s="827" t="s">
        <v>104</v>
      </c>
      <c r="C73" s="828"/>
      <c r="D73" s="828"/>
      <c r="E73" s="828"/>
      <c r="F73" s="828"/>
      <c r="G73" s="828"/>
      <c r="H73" s="828"/>
      <c r="I73" s="407">
        <f>SUM(I71:I72)</f>
        <v>272.49</v>
      </c>
      <c r="J73" s="134"/>
    </row>
    <row r="74" spans="2:10" ht="18.75" customHeight="1">
      <c r="B74" s="829"/>
      <c r="C74" s="830"/>
      <c r="D74" s="830"/>
      <c r="E74" s="830"/>
      <c r="F74" s="830"/>
      <c r="G74" s="830"/>
      <c r="H74" s="830"/>
      <c r="I74" s="831"/>
      <c r="J74" s="134"/>
    </row>
    <row r="75" spans="2:10" ht="18.75" customHeight="1" thickBot="1">
      <c r="B75" s="832" t="s">
        <v>105</v>
      </c>
      <c r="C75" s="833"/>
      <c r="D75" s="833"/>
      <c r="E75" s="833"/>
      <c r="F75" s="833"/>
      <c r="G75" s="833"/>
      <c r="H75" s="833"/>
      <c r="I75" s="408">
        <f>I69+I73</f>
        <v>311.53000000000003</v>
      </c>
      <c r="J75" s="134"/>
    </row>
    <row r="76" spans="2:10" ht="18.75" customHeight="1" thickBot="1">
      <c r="B76" s="154"/>
      <c r="C76" s="154"/>
      <c r="D76" s="154"/>
      <c r="E76" s="154"/>
      <c r="F76" s="154"/>
      <c r="G76" s="154"/>
      <c r="H76" s="154"/>
      <c r="I76" s="268"/>
      <c r="J76" s="134"/>
    </row>
    <row r="77" spans="2:10" ht="18.75" customHeight="1">
      <c r="B77" s="836" t="s">
        <v>654</v>
      </c>
      <c r="C77" s="837"/>
      <c r="D77" s="837"/>
      <c r="E77" s="837"/>
      <c r="F77" s="837"/>
      <c r="G77" s="837"/>
      <c r="H77" s="837"/>
      <c r="I77" s="838"/>
      <c r="J77" s="134"/>
    </row>
    <row r="78" spans="2:10" ht="18.75" customHeight="1">
      <c r="B78" s="841" t="s">
        <v>94</v>
      </c>
      <c r="C78" s="842"/>
      <c r="D78" s="138">
        <f>I95</f>
        <v>622.9699999999999</v>
      </c>
      <c r="E78" s="139"/>
      <c r="F78" s="139"/>
      <c r="G78" s="140"/>
      <c r="H78" s="140"/>
      <c r="I78" s="405" t="s">
        <v>122</v>
      </c>
      <c r="J78" s="134"/>
    </row>
    <row r="79" spans="2:10" ht="18.75" customHeight="1">
      <c r="B79" s="819"/>
      <c r="C79" s="820"/>
      <c r="D79" s="820"/>
      <c r="E79" s="820"/>
      <c r="F79" s="820"/>
      <c r="G79" s="820"/>
      <c r="H79" s="820"/>
      <c r="I79" s="821"/>
      <c r="J79" s="134"/>
    </row>
    <row r="80" spans="2:10" ht="18.75" customHeight="1">
      <c r="B80" s="409" t="s">
        <v>35</v>
      </c>
      <c r="C80" s="157" t="s">
        <v>95</v>
      </c>
      <c r="D80" s="157"/>
      <c r="E80" s="157"/>
      <c r="F80" s="157" t="s">
        <v>3</v>
      </c>
      <c r="G80" s="157" t="s">
        <v>96</v>
      </c>
      <c r="H80" s="157" t="s">
        <v>97</v>
      </c>
      <c r="I80" s="410" t="s">
        <v>98</v>
      </c>
      <c r="J80" s="134"/>
    </row>
    <row r="81" spans="2:10" ht="18.75" customHeight="1">
      <c r="B81" s="822" t="s">
        <v>99</v>
      </c>
      <c r="C81" s="823"/>
      <c r="D81" s="823"/>
      <c r="E81" s="823"/>
      <c r="F81" s="823"/>
      <c r="G81" s="823"/>
      <c r="H81" s="823"/>
      <c r="I81" s="824"/>
      <c r="J81" s="134"/>
    </row>
    <row r="82" spans="2:10" ht="18.75" customHeight="1">
      <c r="B82" s="567" t="s">
        <v>636</v>
      </c>
      <c r="C82" s="818" t="s">
        <v>637</v>
      </c>
      <c r="D82" s="818"/>
      <c r="E82" s="818"/>
      <c r="F82" s="568" t="s">
        <v>106</v>
      </c>
      <c r="G82" s="141">
        <v>3.75</v>
      </c>
      <c r="H82" s="141">
        <v>12.39</v>
      </c>
      <c r="I82" s="406">
        <f>ROUND(G82*H82,2)</f>
        <v>46.46</v>
      </c>
      <c r="J82" s="134"/>
    </row>
    <row r="83" spans="2:10" ht="18.75" customHeight="1">
      <c r="B83" s="402" t="s">
        <v>108</v>
      </c>
      <c r="C83" s="851" t="s">
        <v>109</v>
      </c>
      <c r="D83" s="851"/>
      <c r="E83" s="851"/>
      <c r="F83" s="135" t="s">
        <v>100</v>
      </c>
      <c r="G83" s="141">
        <v>3.75</v>
      </c>
      <c r="H83" s="137">
        <v>9.76</v>
      </c>
      <c r="I83" s="406">
        <f>ROUND(G83*H83,2)</f>
        <v>36.6</v>
      </c>
      <c r="J83" s="134"/>
    </row>
    <row r="84" spans="2:10" ht="18.75" customHeight="1">
      <c r="B84" s="827" t="s">
        <v>101</v>
      </c>
      <c r="C84" s="828"/>
      <c r="D84" s="828"/>
      <c r="E84" s="828"/>
      <c r="F84" s="828"/>
      <c r="G84" s="828"/>
      <c r="H84" s="828"/>
      <c r="I84" s="407">
        <f>SUM(I82:I83)</f>
        <v>83.06</v>
      </c>
      <c r="J84" s="134"/>
    </row>
    <row r="85" spans="2:10" ht="18.75" customHeight="1">
      <c r="B85" s="822" t="s">
        <v>102</v>
      </c>
      <c r="C85" s="823"/>
      <c r="D85" s="823"/>
      <c r="E85" s="823"/>
      <c r="F85" s="823"/>
      <c r="G85" s="823"/>
      <c r="H85" s="823"/>
      <c r="I85" s="824"/>
      <c r="J85" s="134"/>
    </row>
    <row r="86" spans="2:10" ht="28.5" customHeight="1">
      <c r="B86" s="567" t="s">
        <v>655</v>
      </c>
      <c r="C86" s="818" t="s">
        <v>656</v>
      </c>
      <c r="D86" s="818"/>
      <c r="E86" s="818"/>
      <c r="F86" s="568" t="s">
        <v>657</v>
      </c>
      <c r="G86" s="141">
        <v>1</v>
      </c>
      <c r="H86" s="141">
        <v>118</v>
      </c>
      <c r="I86" s="406">
        <f>ROUND(G86*H86,2)</f>
        <v>118</v>
      </c>
      <c r="J86" s="134"/>
    </row>
    <row r="87" spans="2:10" ht="30.75" customHeight="1">
      <c r="B87" s="567" t="s">
        <v>640</v>
      </c>
      <c r="C87" s="818" t="s">
        <v>641</v>
      </c>
      <c r="D87" s="818"/>
      <c r="E87" s="818"/>
      <c r="F87" s="568" t="s">
        <v>107</v>
      </c>
      <c r="G87" s="141">
        <v>6</v>
      </c>
      <c r="H87" s="141">
        <v>31.16</v>
      </c>
      <c r="I87" s="406">
        <f>ROUND(G87*H87,2)</f>
        <v>186.96</v>
      </c>
      <c r="J87" s="134"/>
    </row>
    <row r="88" spans="2:10" ht="26.25" customHeight="1">
      <c r="B88" s="567" t="s">
        <v>658</v>
      </c>
      <c r="C88" s="818" t="s">
        <v>659</v>
      </c>
      <c r="D88" s="818"/>
      <c r="E88" s="818"/>
      <c r="F88" s="568" t="s">
        <v>107</v>
      </c>
      <c r="G88" s="141">
        <v>2</v>
      </c>
      <c r="H88" s="141">
        <v>115.9</v>
      </c>
      <c r="I88" s="406">
        <f>ROUND(G88*H88,2)</f>
        <v>231.8</v>
      </c>
      <c r="J88" s="134"/>
    </row>
    <row r="89" spans="2:10" ht="18.75" customHeight="1">
      <c r="B89" s="567" t="s">
        <v>644</v>
      </c>
      <c r="C89" s="818" t="s">
        <v>645</v>
      </c>
      <c r="D89" s="818"/>
      <c r="E89" s="818"/>
      <c r="F89" s="568" t="s">
        <v>103</v>
      </c>
      <c r="G89" s="617">
        <v>0.004</v>
      </c>
      <c r="H89" s="141">
        <v>7.37</v>
      </c>
      <c r="I89" s="406">
        <f>ROUND(G89*H89,2)</f>
        <v>0.03</v>
      </c>
      <c r="J89" s="134"/>
    </row>
    <row r="90" spans="2:10" ht="18.75" customHeight="1">
      <c r="B90" s="827" t="s">
        <v>104</v>
      </c>
      <c r="C90" s="828"/>
      <c r="D90" s="828"/>
      <c r="E90" s="828"/>
      <c r="F90" s="828"/>
      <c r="G90" s="828"/>
      <c r="H90" s="828"/>
      <c r="I90" s="407">
        <f>SUM(I86:I89)</f>
        <v>536.79</v>
      </c>
      <c r="J90" s="134"/>
    </row>
    <row r="91" spans="2:10" ht="18.75" customHeight="1">
      <c r="B91" s="860" t="s">
        <v>646</v>
      </c>
      <c r="C91" s="861"/>
      <c r="D91" s="861"/>
      <c r="E91" s="861"/>
      <c r="F91" s="861"/>
      <c r="G91" s="861"/>
      <c r="H91" s="618"/>
      <c r="I91" s="619"/>
      <c r="J91" s="134"/>
    </row>
    <row r="92" spans="2:10" ht="42" customHeight="1">
      <c r="B92" s="567" t="s">
        <v>112</v>
      </c>
      <c r="C92" s="818" t="s">
        <v>647</v>
      </c>
      <c r="D92" s="818"/>
      <c r="E92" s="818"/>
      <c r="F92" s="568" t="s">
        <v>648</v>
      </c>
      <c r="G92" s="141">
        <v>0.01</v>
      </c>
      <c r="H92" s="141">
        <f>I75</f>
        <v>311.53000000000003</v>
      </c>
      <c r="I92" s="406">
        <f>ROUND(G92*H92,2)</f>
        <v>3.12</v>
      </c>
      <c r="J92" s="134"/>
    </row>
    <row r="93" spans="2:10" ht="18.75" customHeight="1">
      <c r="B93" s="827" t="s">
        <v>649</v>
      </c>
      <c r="C93" s="828"/>
      <c r="D93" s="828"/>
      <c r="E93" s="828"/>
      <c r="F93" s="828"/>
      <c r="G93" s="828"/>
      <c r="H93" s="828"/>
      <c r="I93" s="407">
        <f>SUM(I91:I92)</f>
        <v>3.12</v>
      </c>
      <c r="J93" s="134"/>
    </row>
    <row r="94" spans="2:10" ht="18.75" customHeight="1">
      <c r="B94" s="829"/>
      <c r="C94" s="830"/>
      <c r="D94" s="830"/>
      <c r="E94" s="830"/>
      <c r="F94" s="830"/>
      <c r="G94" s="830"/>
      <c r="H94" s="830"/>
      <c r="I94" s="831"/>
      <c r="J94" s="134"/>
    </row>
    <row r="95" spans="2:10" ht="18.75" customHeight="1" thickBot="1">
      <c r="B95" s="832" t="s">
        <v>294</v>
      </c>
      <c r="C95" s="833"/>
      <c r="D95" s="833"/>
      <c r="E95" s="833"/>
      <c r="F95" s="833"/>
      <c r="G95" s="833"/>
      <c r="H95" s="833"/>
      <c r="I95" s="408">
        <f>I84+I90+I93</f>
        <v>622.9699999999999</v>
      </c>
      <c r="J95" s="134"/>
    </row>
    <row r="96" spans="2:10" ht="18.75" customHeight="1" thickBot="1">
      <c r="B96" s="154"/>
      <c r="C96" s="154"/>
      <c r="D96" s="154"/>
      <c r="E96" s="154"/>
      <c r="F96" s="154"/>
      <c r="G96" s="154"/>
      <c r="H96" s="154"/>
      <c r="I96" s="268"/>
      <c r="J96" s="134"/>
    </row>
    <row r="97" spans="2:10" ht="18.75" customHeight="1">
      <c r="B97" s="836" t="s">
        <v>660</v>
      </c>
      <c r="C97" s="837"/>
      <c r="D97" s="837"/>
      <c r="E97" s="837"/>
      <c r="F97" s="837"/>
      <c r="G97" s="837"/>
      <c r="H97" s="837"/>
      <c r="I97" s="838"/>
      <c r="J97" s="134"/>
    </row>
    <row r="98" spans="2:10" ht="18.75" customHeight="1">
      <c r="B98" s="841" t="s">
        <v>94</v>
      </c>
      <c r="C98" s="842"/>
      <c r="D98" s="138">
        <f>I115</f>
        <v>790.0999999999999</v>
      </c>
      <c r="E98" s="139"/>
      <c r="F98" s="139"/>
      <c r="G98" s="140"/>
      <c r="H98" s="140"/>
      <c r="I98" s="405" t="s">
        <v>122</v>
      </c>
      <c r="J98" s="134"/>
    </row>
    <row r="99" spans="2:10" ht="18.75" customHeight="1">
      <c r="B99" s="819"/>
      <c r="C99" s="820"/>
      <c r="D99" s="820"/>
      <c r="E99" s="820"/>
      <c r="F99" s="820"/>
      <c r="G99" s="820"/>
      <c r="H99" s="820"/>
      <c r="I99" s="821"/>
      <c r="J99" s="134"/>
    </row>
    <row r="100" spans="2:10" ht="18.75" customHeight="1">
      <c r="B100" s="409" t="s">
        <v>35</v>
      </c>
      <c r="C100" s="157" t="s">
        <v>95</v>
      </c>
      <c r="D100" s="157"/>
      <c r="E100" s="157"/>
      <c r="F100" s="157" t="s">
        <v>3</v>
      </c>
      <c r="G100" s="157" t="s">
        <v>96</v>
      </c>
      <c r="H100" s="157" t="s">
        <v>97</v>
      </c>
      <c r="I100" s="410" t="s">
        <v>98</v>
      </c>
      <c r="J100" s="134"/>
    </row>
    <row r="101" spans="2:10" ht="18.75" customHeight="1">
      <c r="B101" s="822" t="s">
        <v>99</v>
      </c>
      <c r="C101" s="823"/>
      <c r="D101" s="823"/>
      <c r="E101" s="823"/>
      <c r="F101" s="823"/>
      <c r="G101" s="823"/>
      <c r="H101" s="823"/>
      <c r="I101" s="824"/>
      <c r="J101" s="134"/>
    </row>
    <row r="102" spans="2:10" ht="18.75" customHeight="1">
      <c r="B102" s="567" t="s">
        <v>636</v>
      </c>
      <c r="C102" s="818" t="s">
        <v>637</v>
      </c>
      <c r="D102" s="818"/>
      <c r="E102" s="818"/>
      <c r="F102" s="568" t="s">
        <v>106</v>
      </c>
      <c r="G102" s="141">
        <v>3.75</v>
      </c>
      <c r="H102" s="141">
        <v>12.39</v>
      </c>
      <c r="I102" s="406">
        <f>ROUND(G102*H102,2)</f>
        <v>46.46</v>
      </c>
      <c r="J102" s="134"/>
    </row>
    <row r="103" spans="2:10" ht="18.75" customHeight="1">
      <c r="B103" s="402" t="s">
        <v>108</v>
      </c>
      <c r="C103" s="851" t="s">
        <v>109</v>
      </c>
      <c r="D103" s="851"/>
      <c r="E103" s="851"/>
      <c r="F103" s="135" t="s">
        <v>100</v>
      </c>
      <c r="G103" s="141">
        <v>3.75</v>
      </c>
      <c r="H103" s="137">
        <v>9.76</v>
      </c>
      <c r="I103" s="406">
        <f>ROUND(G103*H103,2)</f>
        <v>36.6</v>
      </c>
      <c r="J103" s="134"/>
    </row>
    <row r="104" spans="2:10" ht="18.75" customHeight="1">
      <c r="B104" s="827" t="s">
        <v>101</v>
      </c>
      <c r="C104" s="828"/>
      <c r="D104" s="828"/>
      <c r="E104" s="828"/>
      <c r="F104" s="828"/>
      <c r="G104" s="828"/>
      <c r="H104" s="828"/>
      <c r="I104" s="407">
        <f>SUM(I102:I103)</f>
        <v>83.06</v>
      </c>
      <c r="J104" s="134"/>
    </row>
    <row r="105" spans="2:10" ht="18.75" customHeight="1">
      <c r="B105" s="822" t="s">
        <v>102</v>
      </c>
      <c r="C105" s="823"/>
      <c r="D105" s="823"/>
      <c r="E105" s="823"/>
      <c r="F105" s="823"/>
      <c r="G105" s="823"/>
      <c r="H105" s="823"/>
      <c r="I105" s="824"/>
      <c r="J105" s="134"/>
    </row>
    <row r="106" spans="2:10" ht="25.5" customHeight="1">
      <c r="B106" s="567" t="s">
        <v>640</v>
      </c>
      <c r="C106" s="818" t="s">
        <v>641</v>
      </c>
      <c r="D106" s="818"/>
      <c r="E106" s="818"/>
      <c r="F106" s="568" t="s">
        <v>107</v>
      </c>
      <c r="G106" s="141">
        <v>6</v>
      </c>
      <c r="H106" s="141">
        <v>31.16</v>
      </c>
      <c r="I106" s="406">
        <f>ROUND(G106*H106,2)</f>
        <v>186.96</v>
      </c>
      <c r="J106" s="134"/>
    </row>
    <row r="107" spans="2:10" ht="24" customHeight="1">
      <c r="B107" s="567" t="s">
        <v>661</v>
      </c>
      <c r="C107" s="818" t="s">
        <v>662</v>
      </c>
      <c r="D107" s="818"/>
      <c r="E107" s="818"/>
      <c r="F107" s="568" t="s">
        <v>107</v>
      </c>
      <c r="G107" s="141">
        <v>2</v>
      </c>
      <c r="H107" s="141">
        <v>134.9</v>
      </c>
      <c r="I107" s="406">
        <f>ROUND(G107*H107,2)</f>
        <v>269.8</v>
      </c>
      <c r="J107" s="134"/>
    </row>
    <row r="108" spans="2:10" ht="26.25" customHeight="1">
      <c r="B108" s="567" t="s">
        <v>644</v>
      </c>
      <c r="C108" s="818" t="s">
        <v>645</v>
      </c>
      <c r="D108" s="818"/>
      <c r="E108" s="818"/>
      <c r="F108" s="568" t="s">
        <v>103</v>
      </c>
      <c r="G108" s="617">
        <v>0.004</v>
      </c>
      <c r="H108" s="141">
        <v>7.37</v>
      </c>
      <c r="I108" s="406">
        <f>ROUND(G108*H108,2)</f>
        <v>0.03</v>
      </c>
      <c r="J108" s="134"/>
    </row>
    <row r="109" spans="2:10" ht="18.75" customHeight="1">
      <c r="B109" s="827" t="s">
        <v>104</v>
      </c>
      <c r="C109" s="828"/>
      <c r="D109" s="828"/>
      <c r="E109" s="828"/>
      <c r="F109" s="828"/>
      <c r="G109" s="828"/>
      <c r="H109" s="828"/>
      <c r="I109" s="407">
        <f>SUM(I106:I108)</f>
        <v>456.78999999999996</v>
      </c>
      <c r="J109" s="134"/>
    </row>
    <row r="110" spans="2:10" ht="18.75" customHeight="1">
      <c r="B110" s="860" t="s">
        <v>646</v>
      </c>
      <c r="C110" s="861"/>
      <c r="D110" s="861"/>
      <c r="E110" s="861"/>
      <c r="F110" s="861"/>
      <c r="G110" s="861"/>
      <c r="H110" s="618"/>
      <c r="I110" s="619"/>
      <c r="J110" s="134"/>
    </row>
    <row r="111" spans="2:10" ht="45.75" customHeight="1">
      <c r="B111" s="567" t="s">
        <v>112</v>
      </c>
      <c r="C111" s="818" t="s">
        <v>647</v>
      </c>
      <c r="D111" s="818"/>
      <c r="E111" s="818"/>
      <c r="F111" s="568" t="s">
        <v>648</v>
      </c>
      <c r="G111" s="141">
        <v>0.01</v>
      </c>
      <c r="H111" s="141">
        <f>I75</f>
        <v>311.53000000000003</v>
      </c>
      <c r="I111" s="406">
        <f>ROUND(G111*H111,2)</f>
        <v>3.12</v>
      </c>
      <c r="J111" s="134"/>
    </row>
    <row r="112" spans="2:10" ht="25.5" customHeight="1">
      <c r="B112" s="567" t="s">
        <v>112</v>
      </c>
      <c r="C112" s="818" t="s">
        <v>663</v>
      </c>
      <c r="D112" s="818"/>
      <c r="E112" s="818"/>
      <c r="F112" s="568" t="s">
        <v>664</v>
      </c>
      <c r="G112" s="141">
        <v>6.2</v>
      </c>
      <c r="H112" s="141">
        <f>I134</f>
        <v>39.86</v>
      </c>
      <c r="I112" s="406">
        <f>ROUND(G112*H112,2)</f>
        <v>247.13</v>
      </c>
      <c r="J112" s="134"/>
    </row>
    <row r="113" spans="2:10" ht="25.5" customHeight="1">
      <c r="B113" s="827" t="s">
        <v>649</v>
      </c>
      <c r="C113" s="828"/>
      <c r="D113" s="828"/>
      <c r="E113" s="828"/>
      <c r="F113" s="828"/>
      <c r="G113" s="828"/>
      <c r="H113" s="828"/>
      <c r="I113" s="407">
        <f>SUM(I110:I112)</f>
        <v>250.25</v>
      </c>
      <c r="J113" s="134"/>
    </row>
    <row r="114" spans="2:10" ht="18.75" customHeight="1">
      <c r="B114" s="829"/>
      <c r="C114" s="830"/>
      <c r="D114" s="830"/>
      <c r="E114" s="830"/>
      <c r="F114" s="830"/>
      <c r="G114" s="830"/>
      <c r="H114" s="830"/>
      <c r="I114" s="831"/>
      <c r="J114" s="134"/>
    </row>
    <row r="115" spans="2:10" ht="18.75" customHeight="1" thickBot="1">
      <c r="B115" s="832" t="s">
        <v>294</v>
      </c>
      <c r="C115" s="833"/>
      <c r="D115" s="833"/>
      <c r="E115" s="833"/>
      <c r="F115" s="833"/>
      <c r="G115" s="833"/>
      <c r="H115" s="833"/>
      <c r="I115" s="408">
        <f>I104+I109+I113</f>
        <v>790.0999999999999</v>
      </c>
      <c r="J115" s="134"/>
    </row>
    <row r="116" spans="2:10" ht="18.75" customHeight="1" thickBot="1">
      <c r="B116" s="154"/>
      <c r="C116" s="154"/>
      <c r="D116" s="154"/>
      <c r="E116" s="154"/>
      <c r="F116" s="154"/>
      <c r="G116" s="154"/>
      <c r="H116" s="154"/>
      <c r="I116" s="268"/>
      <c r="J116" s="134"/>
    </row>
    <row r="117" spans="2:10" ht="18.75" customHeight="1">
      <c r="B117" s="836" t="s">
        <v>663</v>
      </c>
      <c r="C117" s="837"/>
      <c r="D117" s="837"/>
      <c r="E117" s="837"/>
      <c r="F117" s="837"/>
      <c r="G117" s="837"/>
      <c r="H117" s="837"/>
      <c r="I117" s="838"/>
      <c r="J117" s="134"/>
    </row>
    <row r="118" spans="2:10" ht="18.75" customHeight="1">
      <c r="B118" s="841" t="s">
        <v>94</v>
      </c>
      <c r="C118" s="842"/>
      <c r="D118" s="138" t="e">
        <f>#REF!</f>
        <v>#REF!</v>
      </c>
      <c r="E118" s="139"/>
      <c r="F118" s="139"/>
      <c r="G118" s="140"/>
      <c r="H118" s="140"/>
      <c r="I118" s="405" t="s">
        <v>122</v>
      </c>
      <c r="J118" s="134"/>
    </row>
    <row r="119" spans="2:10" ht="18.75" customHeight="1">
      <c r="B119" s="819"/>
      <c r="C119" s="820"/>
      <c r="D119" s="820"/>
      <c r="E119" s="820"/>
      <c r="F119" s="820"/>
      <c r="G119" s="820"/>
      <c r="H119" s="820"/>
      <c r="I119" s="821"/>
      <c r="J119" s="134"/>
    </row>
    <row r="120" spans="2:10" ht="18.75" customHeight="1">
      <c r="B120" s="409" t="s">
        <v>35</v>
      </c>
      <c r="C120" s="157" t="s">
        <v>95</v>
      </c>
      <c r="D120" s="157"/>
      <c r="E120" s="157"/>
      <c r="F120" s="157" t="s">
        <v>3</v>
      </c>
      <c r="G120" s="157" t="s">
        <v>96</v>
      </c>
      <c r="H120" s="157" t="s">
        <v>97</v>
      </c>
      <c r="I120" s="410" t="s">
        <v>98</v>
      </c>
      <c r="J120" s="134"/>
    </row>
    <row r="121" spans="2:10" ht="18.75" customHeight="1">
      <c r="B121" s="822" t="s">
        <v>99</v>
      </c>
      <c r="C121" s="823"/>
      <c r="D121" s="823"/>
      <c r="E121" s="823"/>
      <c r="F121" s="823"/>
      <c r="G121" s="823"/>
      <c r="H121" s="823"/>
      <c r="I121" s="824"/>
      <c r="J121" s="134"/>
    </row>
    <row r="122" spans="2:10" ht="18.75" customHeight="1">
      <c r="B122" s="567" t="s">
        <v>665</v>
      </c>
      <c r="C122" s="818" t="s">
        <v>666</v>
      </c>
      <c r="D122" s="818"/>
      <c r="E122" s="818"/>
      <c r="F122" s="568" t="s">
        <v>106</v>
      </c>
      <c r="G122" s="141">
        <v>0.28</v>
      </c>
      <c r="H122" s="141">
        <v>12.54</v>
      </c>
      <c r="I122" s="406">
        <f>ROUND(G122*H122,2)</f>
        <v>3.51</v>
      </c>
      <c r="J122" s="134"/>
    </row>
    <row r="123" spans="2:10" ht="18.75" customHeight="1">
      <c r="B123" s="567" t="s">
        <v>110</v>
      </c>
      <c r="C123" s="566" t="s">
        <v>111</v>
      </c>
      <c r="D123" s="566"/>
      <c r="E123" s="566"/>
      <c r="F123" s="568" t="s">
        <v>106</v>
      </c>
      <c r="G123" s="141">
        <v>0.3</v>
      </c>
      <c r="H123" s="141">
        <v>12.54</v>
      </c>
      <c r="I123" s="406">
        <f>ROUND(G123*H123,2)</f>
        <v>3.76</v>
      </c>
      <c r="J123" s="134"/>
    </row>
    <row r="124" spans="2:10" ht="18.75" customHeight="1">
      <c r="B124" s="402" t="s">
        <v>108</v>
      </c>
      <c r="C124" s="851" t="s">
        <v>109</v>
      </c>
      <c r="D124" s="851"/>
      <c r="E124" s="851"/>
      <c r="F124" s="135" t="s">
        <v>100</v>
      </c>
      <c r="G124" s="141">
        <v>0.28</v>
      </c>
      <c r="H124" s="137">
        <v>9.76</v>
      </c>
      <c r="I124" s="406">
        <f>ROUND(G124*H124,2)</f>
        <v>2.73</v>
      </c>
      <c r="J124" s="134"/>
    </row>
    <row r="125" spans="2:10" ht="18.75" customHeight="1">
      <c r="B125" s="827" t="s">
        <v>101</v>
      </c>
      <c r="C125" s="828"/>
      <c r="D125" s="828"/>
      <c r="E125" s="828"/>
      <c r="F125" s="828"/>
      <c r="G125" s="828"/>
      <c r="H125" s="828"/>
      <c r="I125" s="407">
        <f>SUM(I122:I124)</f>
        <v>10</v>
      </c>
      <c r="J125" s="134"/>
    </row>
    <row r="126" spans="2:10" ht="18.75" customHeight="1">
      <c r="B126" s="822" t="s">
        <v>102</v>
      </c>
      <c r="C126" s="823"/>
      <c r="D126" s="823"/>
      <c r="E126" s="823"/>
      <c r="F126" s="823"/>
      <c r="G126" s="823"/>
      <c r="H126" s="823"/>
      <c r="I126" s="824"/>
      <c r="J126" s="134"/>
    </row>
    <row r="127" spans="2:10" ht="26.25" customHeight="1">
      <c r="B127" s="567" t="s">
        <v>638</v>
      </c>
      <c r="C127" s="818" t="s">
        <v>667</v>
      </c>
      <c r="D127" s="818"/>
      <c r="E127" s="818"/>
      <c r="F127" s="568" t="s">
        <v>116</v>
      </c>
      <c r="G127" s="141">
        <v>1.1</v>
      </c>
      <c r="H127" s="141">
        <v>26.66</v>
      </c>
      <c r="I127" s="406">
        <f>ROUND(G127*H127,2)</f>
        <v>29.33</v>
      </c>
      <c r="J127" s="134"/>
    </row>
    <row r="128" spans="2:10" ht="25.5" customHeight="1">
      <c r="B128" s="567" t="s">
        <v>644</v>
      </c>
      <c r="C128" s="818" t="s">
        <v>645</v>
      </c>
      <c r="D128" s="818"/>
      <c r="E128" s="818"/>
      <c r="F128" s="568" t="s">
        <v>103</v>
      </c>
      <c r="G128" s="617">
        <v>0.004</v>
      </c>
      <c r="H128" s="141">
        <v>7.37</v>
      </c>
      <c r="I128" s="406">
        <f>ROUND(G128*H128,2)</f>
        <v>0.03</v>
      </c>
      <c r="J128" s="134"/>
    </row>
    <row r="129" spans="2:10" ht="18.75" customHeight="1">
      <c r="B129" s="827" t="s">
        <v>104</v>
      </c>
      <c r="C129" s="828"/>
      <c r="D129" s="828"/>
      <c r="E129" s="828"/>
      <c r="F129" s="828"/>
      <c r="G129" s="828"/>
      <c r="H129" s="828"/>
      <c r="I129" s="407">
        <f>SUM(I127:I128)</f>
        <v>29.36</v>
      </c>
      <c r="J129" s="134"/>
    </row>
    <row r="130" spans="2:10" ht="18.75" customHeight="1">
      <c r="B130" s="860" t="s">
        <v>646</v>
      </c>
      <c r="C130" s="861"/>
      <c r="D130" s="861"/>
      <c r="E130" s="861"/>
      <c r="F130" s="861"/>
      <c r="G130" s="861"/>
      <c r="H130" s="618"/>
      <c r="I130" s="619"/>
      <c r="J130" s="134"/>
    </row>
    <row r="131" spans="2:10" ht="45" customHeight="1">
      <c r="B131" s="567" t="s">
        <v>112</v>
      </c>
      <c r="C131" s="818" t="s">
        <v>647</v>
      </c>
      <c r="D131" s="818"/>
      <c r="E131" s="818"/>
      <c r="F131" s="568" t="s">
        <v>648</v>
      </c>
      <c r="G131" s="153">
        <v>0.0016</v>
      </c>
      <c r="H131" s="141">
        <f>I75</f>
        <v>311.53000000000003</v>
      </c>
      <c r="I131" s="406">
        <f>ROUND(G131*H131,2)</f>
        <v>0.5</v>
      </c>
      <c r="J131" s="134"/>
    </row>
    <row r="132" spans="2:10" ht="18.75" customHeight="1">
      <c r="B132" s="827" t="s">
        <v>649</v>
      </c>
      <c r="C132" s="828"/>
      <c r="D132" s="828"/>
      <c r="E132" s="828"/>
      <c r="F132" s="828"/>
      <c r="G132" s="828"/>
      <c r="H132" s="828"/>
      <c r="I132" s="407">
        <f>SUM(I130:I131)</f>
        <v>0.5</v>
      </c>
      <c r="J132" s="134"/>
    </row>
    <row r="133" spans="2:10" ht="18.75" customHeight="1">
      <c r="B133" s="829"/>
      <c r="C133" s="830"/>
      <c r="D133" s="830"/>
      <c r="E133" s="830"/>
      <c r="F133" s="830"/>
      <c r="G133" s="830"/>
      <c r="H133" s="830"/>
      <c r="I133" s="831"/>
      <c r="J133" s="134"/>
    </row>
    <row r="134" spans="2:10" ht="18.75" customHeight="1" thickBot="1">
      <c r="B134" s="832" t="s">
        <v>294</v>
      </c>
      <c r="C134" s="833"/>
      <c r="D134" s="833"/>
      <c r="E134" s="833"/>
      <c r="F134" s="833"/>
      <c r="G134" s="833"/>
      <c r="H134" s="833"/>
      <c r="I134" s="408">
        <f>I125+I129+I132</f>
        <v>39.86</v>
      </c>
      <c r="J134" s="134"/>
    </row>
    <row r="135" spans="2:10" ht="18.75" customHeight="1" thickBot="1">
      <c r="B135" s="154"/>
      <c r="C135" s="154"/>
      <c r="D135" s="154"/>
      <c r="E135" s="154"/>
      <c r="F135" s="154"/>
      <c r="G135" s="154"/>
      <c r="H135" s="154"/>
      <c r="I135" s="268"/>
      <c r="J135" s="134"/>
    </row>
    <row r="136" spans="2:10" ht="40.5" customHeight="1">
      <c r="B136" s="852" t="s">
        <v>672</v>
      </c>
      <c r="C136" s="853"/>
      <c r="D136" s="853"/>
      <c r="E136" s="853"/>
      <c r="F136" s="853"/>
      <c r="G136" s="853"/>
      <c r="H136" s="853"/>
      <c r="I136" s="854"/>
      <c r="J136" s="134"/>
    </row>
    <row r="137" spans="2:10" ht="18.75" customHeight="1">
      <c r="B137" s="855" t="s">
        <v>94</v>
      </c>
      <c r="C137" s="856"/>
      <c r="D137" s="620">
        <f>I167</f>
        <v>1533.6599999999999</v>
      </c>
      <c r="E137" s="621"/>
      <c r="F137" s="621"/>
      <c r="G137" s="622"/>
      <c r="H137" s="622"/>
      <c r="I137" s="623" t="s">
        <v>673</v>
      </c>
      <c r="J137" s="134"/>
    </row>
    <row r="138" spans="2:10" ht="18.75" customHeight="1">
      <c r="B138" s="857"/>
      <c r="C138" s="858"/>
      <c r="D138" s="858"/>
      <c r="E138" s="858"/>
      <c r="F138" s="858"/>
      <c r="G138" s="858"/>
      <c r="H138" s="858"/>
      <c r="I138" s="859"/>
      <c r="J138" s="134"/>
    </row>
    <row r="139" spans="2:10" ht="18.75" customHeight="1">
      <c r="B139" s="624" t="s">
        <v>35</v>
      </c>
      <c r="C139" s="625" t="s">
        <v>95</v>
      </c>
      <c r="D139" s="625"/>
      <c r="E139" s="625"/>
      <c r="F139" s="625" t="s">
        <v>3</v>
      </c>
      <c r="G139" s="625" t="s">
        <v>96</v>
      </c>
      <c r="H139" s="625" t="s">
        <v>97</v>
      </c>
      <c r="I139" s="626" t="s">
        <v>98</v>
      </c>
      <c r="J139" s="134"/>
    </row>
    <row r="140" spans="2:10" ht="18.75" customHeight="1">
      <c r="B140" s="860" t="s">
        <v>99</v>
      </c>
      <c r="C140" s="861"/>
      <c r="D140" s="861"/>
      <c r="E140" s="861"/>
      <c r="F140" s="861"/>
      <c r="G140" s="861"/>
      <c r="H140" s="861"/>
      <c r="I140" s="876"/>
      <c r="J140" s="134"/>
    </row>
    <row r="141" spans="2:10" ht="18.75" customHeight="1">
      <c r="B141" s="402" t="s">
        <v>665</v>
      </c>
      <c r="C141" s="851" t="s">
        <v>666</v>
      </c>
      <c r="D141" s="851"/>
      <c r="E141" s="851"/>
      <c r="F141" s="135" t="s">
        <v>100</v>
      </c>
      <c r="G141" s="136">
        <v>0.5</v>
      </c>
      <c r="H141" s="137">
        <v>12.54</v>
      </c>
      <c r="I141" s="403">
        <f>ROUND(G141*H141,2)</f>
        <v>6.27</v>
      </c>
      <c r="J141" s="134"/>
    </row>
    <row r="142" spans="2:10" ht="18.75" customHeight="1">
      <c r="B142" s="402" t="s">
        <v>674</v>
      </c>
      <c r="C142" s="851" t="s">
        <v>675</v>
      </c>
      <c r="D142" s="851"/>
      <c r="E142" s="851"/>
      <c r="F142" s="135" t="s">
        <v>100</v>
      </c>
      <c r="G142" s="136">
        <v>6.15</v>
      </c>
      <c r="H142" s="137">
        <v>12.55</v>
      </c>
      <c r="I142" s="403">
        <f>ROUND(G142*H142,2)</f>
        <v>77.18</v>
      </c>
      <c r="J142" s="134"/>
    </row>
    <row r="143" spans="2:10" ht="18.75" customHeight="1">
      <c r="B143" s="402" t="s">
        <v>108</v>
      </c>
      <c r="C143" s="851" t="s">
        <v>109</v>
      </c>
      <c r="D143" s="851"/>
      <c r="E143" s="851"/>
      <c r="F143" s="135" t="s">
        <v>100</v>
      </c>
      <c r="G143" s="136">
        <v>6.15</v>
      </c>
      <c r="H143" s="137">
        <v>9.76</v>
      </c>
      <c r="I143" s="403">
        <f>ROUND(G143*H143,2)</f>
        <v>60.02</v>
      </c>
      <c r="J143" s="134"/>
    </row>
    <row r="144" spans="2:10" ht="18.75" customHeight="1">
      <c r="B144" s="402" t="s">
        <v>110</v>
      </c>
      <c r="C144" s="851" t="s">
        <v>111</v>
      </c>
      <c r="D144" s="851"/>
      <c r="E144" s="851"/>
      <c r="F144" s="135" t="s">
        <v>100</v>
      </c>
      <c r="G144" s="136">
        <v>4</v>
      </c>
      <c r="H144" s="137">
        <v>12.54</v>
      </c>
      <c r="I144" s="403">
        <f>ROUND(G144*H144,2)</f>
        <v>50.16</v>
      </c>
      <c r="J144" s="134"/>
    </row>
    <row r="145" spans="2:10" ht="36" customHeight="1">
      <c r="B145" s="402" t="s">
        <v>676</v>
      </c>
      <c r="C145" s="851" t="s">
        <v>677</v>
      </c>
      <c r="D145" s="851"/>
      <c r="E145" s="851"/>
      <c r="F145" s="135" t="s">
        <v>100</v>
      </c>
      <c r="G145" s="627">
        <v>0.5</v>
      </c>
      <c r="H145" s="137">
        <v>17.61</v>
      </c>
      <c r="I145" s="403">
        <f>ROUND(G145*H145,2)</f>
        <v>8.81</v>
      </c>
      <c r="J145" s="134"/>
    </row>
    <row r="146" spans="2:10" ht="18.75" customHeight="1">
      <c r="B146" s="849" t="s">
        <v>101</v>
      </c>
      <c r="C146" s="850"/>
      <c r="D146" s="850"/>
      <c r="E146" s="850"/>
      <c r="F146" s="850"/>
      <c r="G146" s="850"/>
      <c r="H146" s="850"/>
      <c r="I146" s="628">
        <f>SUM(I141:I145)</f>
        <v>202.44</v>
      </c>
      <c r="J146" s="134"/>
    </row>
    <row r="147" spans="2:10" ht="18.75" customHeight="1">
      <c r="B147" s="860" t="s">
        <v>102</v>
      </c>
      <c r="C147" s="861"/>
      <c r="D147" s="861"/>
      <c r="E147" s="861"/>
      <c r="F147" s="861"/>
      <c r="G147" s="861"/>
      <c r="H147" s="861"/>
      <c r="I147" s="876"/>
      <c r="J147" s="134"/>
    </row>
    <row r="148" spans="2:10" ht="18.75" customHeight="1">
      <c r="B148" s="402" t="s">
        <v>678</v>
      </c>
      <c r="C148" s="848" t="s">
        <v>679</v>
      </c>
      <c r="D148" s="848"/>
      <c r="E148" s="848"/>
      <c r="F148" s="135" t="s">
        <v>103</v>
      </c>
      <c r="G148" s="136">
        <v>1.8</v>
      </c>
      <c r="H148" s="629">
        <v>9</v>
      </c>
      <c r="I148" s="403">
        <f>ROUND(G148*H148,2)</f>
        <v>16.2</v>
      </c>
      <c r="J148" s="134"/>
    </row>
    <row r="149" spans="2:10" ht="18.75" customHeight="1">
      <c r="B149" s="402" t="s">
        <v>680</v>
      </c>
      <c r="C149" s="848" t="s">
        <v>681</v>
      </c>
      <c r="D149" s="848"/>
      <c r="E149" s="848"/>
      <c r="F149" s="135" t="s">
        <v>103</v>
      </c>
      <c r="G149" s="629">
        <v>5</v>
      </c>
      <c r="H149" s="629">
        <v>2.96</v>
      </c>
      <c r="I149" s="403">
        <f aca="true" t="shared" si="0" ref="I149:I154">ROUND(G149*H149,2)</f>
        <v>14.8</v>
      </c>
      <c r="J149" s="134"/>
    </row>
    <row r="150" spans="2:10" ht="18.75" customHeight="1">
      <c r="B150" s="402" t="s">
        <v>682</v>
      </c>
      <c r="C150" s="848" t="s">
        <v>683</v>
      </c>
      <c r="D150" s="848"/>
      <c r="E150" s="848"/>
      <c r="F150" s="135" t="s">
        <v>103</v>
      </c>
      <c r="G150" s="136">
        <v>10</v>
      </c>
      <c r="H150" s="629">
        <v>2.76</v>
      </c>
      <c r="I150" s="403">
        <f t="shared" si="0"/>
        <v>27.6</v>
      </c>
      <c r="J150" s="134"/>
    </row>
    <row r="151" spans="2:10" ht="18.75" customHeight="1">
      <c r="B151" s="402" t="s">
        <v>684</v>
      </c>
      <c r="C151" s="848" t="s">
        <v>685</v>
      </c>
      <c r="D151" s="848"/>
      <c r="E151" s="848"/>
      <c r="F151" s="135" t="s">
        <v>103</v>
      </c>
      <c r="G151" s="136">
        <v>12</v>
      </c>
      <c r="H151" s="137">
        <v>2.96</v>
      </c>
      <c r="I151" s="403">
        <f t="shared" si="0"/>
        <v>35.52</v>
      </c>
      <c r="J151" s="134"/>
    </row>
    <row r="152" spans="2:10" ht="18.75" customHeight="1">
      <c r="B152" s="402" t="s">
        <v>686</v>
      </c>
      <c r="C152" s="848" t="s">
        <v>687</v>
      </c>
      <c r="D152" s="848"/>
      <c r="E152" s="848"/>
      <c r="F152" s="135" t="s">
        <v>103</v>
      </c>
      <c r="G152" s="136">
        <v>10</v>
      </c>
      <c r="H152" s="137">
        <v>3.26</v>
      </c>
      <c r="I152" s="403">
        <f t="shared" si="0"/>
        <v>32.6</v>
      </c>
      <c r="J152" s="134"/>
    </row>
    <row r="153" spans="2:10" ht="18.75" customHeight="1">
      <c r="B153" s="402" t="s">
        <v>688</v>
      </c>
      <c r="C153" s="848" t="s">
        <v>689</v>
      </c>
      <c r="D153" s="848"/>
      <c r="E153" s="848"/>
      <c r="F153" s="135" t="s">
        <v>103</v>
      </c>
      <c r="G153" s="136">
        <v>12</v>
      </c>
      <c r="H153" s="137">
        <v>3.66</v>
      </c>
      <c r="I153" s="403">
        <f t="shared" si="0"/>
        <v>43.92</v>
      </c>
      <c r="J153" s="134"/>
    </row>
    <row r="154" spans="2:10" ht="18.75" customHeight="1">
      <c r="B154" s="402" t="s">
        <v>690</v>
      </c>
      <c r="C154" s="848" t="s">
        <v>691</v>
      </c>
      <c r="D154" s="848"/>
      <c r="E154" s="848"/>
      <c r="F154" s="135" t="s">
        <v>103</v>
      </c>
      <c r="G154" s="136">
        <v>12</v>
      </c>
      <c r="H154" s="137">
        <v>3.11</v>
      </c>
      <c r="I154" s="403">
        <f t="shared" si="0"/>
        <v>37.32</v>
      </c>
      <c r="J154" s="134"/>
    </row>
    <row r="155" spans="2:10" ht="18.75" customHeight="1">
      <c r="B155" s="849" t="s">
        <v>104</v>
      </c>
      <c r="C155" s="850"/>
      <c r="D155" s="850"/>
      <c r="E155" s="850"/>
      <c r="F155" s="850"/>
      <c r="G155" s="850"/>
      <c r="H155" s="850"/>
      <c r="I155" s="630">
        <f>SUM(I148:I154)</f>
        <v>207.95999999999998</v>
      </c>
      <c r="J155" s="134"/>
    </row>
    <row r="156" spans="2:10" ht="18.75" customHeight="1">
      <c r="B156" s="860" t="s">
        <v>646</v>
      </c>
      <c r="C156" s="861"/>
      <c r="D156" s="861"/>
      <c r="E156" s="861"/>
      <c r="F156" s="861"/>
      <c r="G156" s="861"/>
      <c r="H156" s="618"/>
      <c r="I156" s="619"/>
      <c r="J156" s="134"/>
    </row>
    <row r="157" spans="2:10" ht="28.5" customHeight="1">
      <c r="B157" s="402" t="s">
        <v>692</v>
      </c>
      <c r="C157" s="875" t="s">
        <v>693</v>
      </c>
      <c r="D157" s="875"/>
      <c r="E157" s="875"/>
      <c r="F157" s="271" t="s">
        <v>694</v>
      </c>
      <c r="G157" s="631">
        <v>0.5</v>
      </c>
      <c r="H157" s="629">
        <v>1</v>
      </c>
      <c r="I157" s="404">
        <f aca="true" t="shared" si="1" ref="I157:I164">ROUND(G157*H157,2)</f>
        <v>0.5</v>
      </c>
      <c r="J157" s="134"/>
    </row>
    <row r="158" spans="2:10" ht="26.25" customHeight="1">
      <c r="B158" s="402" t="s">
        <v>695</v>
      </c>
      <c r="C158" s="848" t="s">
        <v>696</v>
      </c>
      <c r="D158" s="848"/>
      <c r="E158" s="848"/>
      <c r="F158" s="569" t="s">
        <v>100</v>
      </c>
      <c r="G158" s="632">
        <v>0.275</v>
      </c>
      <c r="H158" s="137">
        <v>6.98</v>
      </c>
      <c r="I158" s="403">
        <f t="shared" si="1"/>
        <v>1.92</v>
      </c>
      <c r="J158" s="134"/>
    </row>
    <row r="159" spans="2:10" ht="29.25" customHeight="1">
      <c r="B159" s="402" t="s">
        <v>697</v>
      </c>
      <c r="C159" s="848" t="s">
        <v>698</v>
      </c>
      <c r="D159" s="848"/>
      <c r="E159" s="848"/>
      <c r="F159" s="569" t="s">
        <v>100</v>
      </c>
      <c r="G159" s="632">
        <v>0.4</v>
      </c>
      <c r="H159" s="137">
        <v>1.43</v>
      </c>
      <c r="I159" s="403">
        <f t="shared" si="1"/>
        <v>0.57</v>
      </c>
      <c r="J159" s="134"/>
    </row>
    <row r="160" spans="2:10" ht="29.25" customHeight="1">
      <c r="B160" s="402" t="s">
        <v>699</v>
      </c>
      <c r="C160" s="848" t="s">
        <v>700</v>
      </c>
      <c r="D160" s="848"/>
      <c r="E160" s="848"/>
      <c r="F160" s="569" t="s">
        <v>100</v>
      </c>
      <c r="G160" s="632">
        <v>0.6</v>
      </c>
      <c r="H160" s="137">
        <v>0.97</v>
      </c>
      <c r="I160" s="403">
        <f t="shared" si="1"/>
        <v>0.58</v>
      </c>
      <c r="J160" s="134"/>
    </row>
    <row r="161" spans="2:10" ht="55.5" customHeight="1">
      <c r="B161" s="402" t="s">
        <v>701</v>
      </c>
      <c r="C161" s="848" t="s">
        <v>702</v>
      </c>
      <c r="D161" s="848"/>
      <c r="E161" s="848"/>
      <c r="F161" s="569" t="s">
        <v>100</v>
      </c>
      <c r="G161" s="632">
        <v>0.225</v>
      </c>
      <c r="H161" s="137">
        <v>3.61</v>
      </c>
      <c r="I161" s="403">
        <f t="shared" si="1"/>
        <v>0.81</v>
      </c>
      <c r="J161" s="134"/>
    </row>
    <row r="162" spans="2:10" ht="56.25" customHeight="1">
      <c r="B162" s="402" t="s">
        <v>703</v>
      </c>
      <c r="C162" s="848" t="s">
        <v>704</v>
      </c>
      <c r="D162" s="848"/>
      <c r="E162" s="848"/>
      <c r="F162" s="569" t="s">
        <v>705</v>
      </c>
      <c r="G162" s="632">
        <v>25.2</v>
      </c>
      <c r="H162" s="137">
        <v>8.4</v>
      </c>
      <c r="I162" s="403">
        <f t="shared" si="1"/>
        <v>211.68</v>
      </c>
      <c r="J162" s="134"/>
    </row>
    <row r="163" spans="2:10" ht="42.75" customHeight="1">
      <c r="B163" s="402" t="s">
        <v>706</v>
      </c>
      <c r="C163" s="848" t="s">
        <v>707</v>
      </c>
      <c r="D163" s="848"/>
      <c r="E163" s="848"/>
      <c r="F163" s="569" t="s">
        <v>705</v>
      </c>
      <c r="G163" s="632">
        <v>1</v>
      </c>
      <c r="H163" s="137">
        <v>325.92</v>
      </c>
      <c r="I163" s="403">
        <f t="shared" si="1"/>
        <v>325.92</v>
      </c>
      <c r="J163" s="134"/>
    </row>
    <row r="164" spans="2:10" ht="36" customHeight="1">
      <c r="B164" s="402" t="s">
        <v>112</v>
      </c>
      <c r="C164" s="848" t="s">
        <v>708</v>
      </c>
      <c r="D164" s="848"/>
      <c r="E164" s="848"/>
      <c r="F164" s="569" t="s">
        <v>709</v>
      </c>
      <c r="G164" s="632">
        <v>14</v>
      </c>
      <c r="H164" s="137">
        <f>I184</f>
        <v>41.519999999999996</v>
      </c>
      <c r="I164" s="403">
        <f t="shared" si="1"/>
        <v>581.28</v>
      </c>
      <c r="J164" s="134"/>
    </row>
    <row r="165" spans="2:10" ht="18.75" customHeight="1">
      <c r="B165" s="849" t="s">
        <v>710</v>
      </c>
      <c r="C165" s="850"/>
      <c r="D165" s="850"/>
      <c r="E165" s="850"/>
      <c r="F165" s="850"/>
      <c r="G165" s="850"/>
      <c r="H165" s="850"/>
      <c r="I165" s="630">
        <f>SUM(I157:I164)</f>
        <v>1123.26</v>
      </c>
      <c r="J165" s="134"/>
    </row>
    <row r="166" spans="2:10" ht="18.75" customHeight="1">
      <c r="B166" s="870"/>
      <c r="C166" s="871"/>
      <c r="D166" s="871"/>
      <c r="E166" s="871"/>
      <c r="F166" s="871"/>
      <c r="G166" s="871"/>
      <c r="H166" s="871"/>
      <c r="I166" s="872"/>
      <c r="J166" s="134"/>
    </row>
    <row r="167" spans="2:10" ht="18.75" customHeight="1" thickBot="1">
      <c r="B167" s="873" t="s">
        <v>105</v>
      </c>
      <c r="C167" s="874"/>
      <c r="D167" s="874"/>
      <c r="E167" s="874"/>
      <c r="F167" s="874"/>
      <c r="G167" s="874"/>
      <c r="H167" s="874"/>
      <c r="I167" s="633">
        <f>I146+I155+I165</f>
        <v>1533.6599999999999</v>
      </c>
      <c r="J167" s="134"/>
    </row>
    <row r="168" spans="2:10" ht="18.75" customHeight="1" thickBot="1">
      <c r="B168" s="154"/>
      <c r="C168" s="154"/>
      <c r="D168" s="154"/>
      <c r="E168" s="154"/>
      <c r="F168" s="154"/>
      <c r="G168" s="154"/>
      <c r="H168" s="154"/>
      <c r="I168" s="268"/>
      <c r="J168" s="134"/>
    </row>
    <row r="169" spans="2:10" ht="18.75" customHeight="1">
      <c r="B169" s="836" t="s">
        <v>711</v>
      </c>
      <c r="C169" s="837"/>
      <c r="D169" s="837"/>
      <c r="E169" s="837"/>
      <c r="F169" s="837"/>
      <c r="G169" s="837"/>
      <c r="H169" s="837"/>
      <c r="I169" s="838"/>
      <c r="J169" s="134"/>
    </row>
    <row r="170" spans="2:10" ht="18.75" customHeight="1">
      <c r="B170" s="841" t="s">
        <v>94</v>
      </c>
      <c r="C170" s="842"/>
      <c r="D170" s="138">
        <f>I184</f>
        <v>41.519999999999996</v>
      </c>
      <c r="E170" s="139"/>
      <c r="F170" s="139"/>
      <c r="G170" s="140"/>
      <c r="H170" s="140"/>
      <c r="I170" s="405" t="s">
        <v>122</v>
      </c>
      <c r="J170" s="134"/>
    </row>
    <row r="171" spans="2:10" ht="18.75" customHeight="1">
      <c r="B171" s="819"/>
      <c r="C171" s="820"/>
      <c r="D171" s="820"/>
      <c r="E171" s="820"/>
      <c r="F171" s="820"/>
      <c r="G171" s="820"/>
      <c r="H171" s="820"/>
      <c r="I171" s="821"/>
      <c r="J171" s="134"/>
    </row>
    <row r="172" spans="2:10" ht="18.75" customHeight="1">
      <c r="B172" s="409" t="s">
        <v>35</v>
      </c>
      <c r="C172" s="157" t="s">
        <v>95</v>
      </c>
      <c r="D172" s="157"/>
      <c r="E172" s="157"/>
      <c r="F172" s="157" t="s">
        <v>3</v>
      </c>
      <c r="G172" s="157" t="s">
        <v>96</v>
      </c>
      <c r="H172" s="157" t="s">
        <v>97</v>
      </c>
      <c r="I172" s="410" t="s">
        <v>98</v>
      </c>
      <c r="J172" s="134"/>
    </row>
    <row r="173" spans="2:10" ht="18.75" customHeight="1">
      <c r="B173" s="822" t="s">
        <v>99</v>
      </c>
      <c r="C173" s="823"/>
      <c r="D173" s="823"/>
      <c r="E173" s="823"/>
      <c r="F173" s="823"/>
      <c r="G173" s="823"/>
      <c r="H173" s="823"/>
      <c r="I173" s="824"/>
      <c r="J173" s="134"/>
    </row>
    <row r="174" spans="2:10" ht="29.25" customHeight="1">
      <c r="B174" s="567" t="s">
        <v>712</v>
      </c>
      <c r="C174" s="818" t="s">
        <v>713</v>
      </c>
      <c r="D174" s="818"/>
      <c r="E174" s="818"/>
      <c r="F174" s="568" t="s">
        <v>106</v>
      </c>
      <c r="G174" s="141">
        <v>0.3625</v>
      </c>
      <c r="H174" s="141">
        <v>10.15</v>
      </c>
      <c r="I174" s="406">
        <f>ROUND(G174*H174,2)</f>
        <v>3.68</v>
      </c>
      <c r="J174" s="134"/>
    </row>
    <row r="175" spans="2:10" ht="18.75" customHeight="1">
      <c r="B175" s="567" t="s">
        <v>665</v>
      </c>
      <c r="C175" s="818" t="s">
        <v>714</v>
      </c>
      <c r="D175" s="818"/>
      <c r="E175" s="818"/>
      <c r="F175" s="568" t="s">
        <v>106</v>
      </c>
      <c r="G175" s="141">
        <v>1.45</v>
      </c>
      <c r="H175" s="141">
        <v>12.54</v>
      </c>
      <c r="I175" s="406">
        <f>ROUND(G175*H175,2)</f>
        <v>18.18</v>
      </c>
      <c r="J175" s="134"/>
    </row>
    <row r="176" spans="2:10" ht="18.75" customHeight="1">
      <c r="B176" s="827" t="s">
        <v>101</v>
      </c>
      <c r="C176" s="828"/>
      <c r="D176" s="828"/>
      <c r="E176" s="828"/>
      <c r="F176" s="828"/>
      <c r="G176" s="828"/>
      <c r="H176" s="828"/>
      <c r="I176" s="407">
        <f>SUM(I174:I175)</f>
        <v>21.86</v>
      </c>
      <c r="J176" s="134"/>
    </row>
    <row r="177" spans="2:10" ht="18.75" customHeight="1">
      <c r="B177" s="822" t="s">
        <v>102</v>
      </c>
      <c r="C177" s="823"/>
      <c r="D177" s="823"/>
      <c r="E177" s="823"/>
      <c r="F177" s="823"/>
      <c r="G177" s="823"/>
      <c r="H177" s="823"/>
      <c r="I177" s="824"/>
      <c r="J177" s="134"/>
    </row>
    <row r="178" spans="2:10" ht="29.25" customHeight="1">
      <c r="B178" s="567" t="s">
        <v>715</v>
      </c>
      <c r="C178" s="818" t="s">
        <v>716</v>
      </c>
      <c r="D178" s="818"/>
      <c r="E178" s="818"/>
      <c r="F178" s="568" t="s">
        <v>116</v>
      </c>
      <c r="G178" s="141">
        <v>0.55</v>
      </c>
      <c r="H178" s="141">
        <v>7.9</v>
      </c>
      <c r="I178" s="406">
        <f>ROUND(G178*H178,2)</f>
        <v>4.35</v>
      </c>
      <c r="J178" s="134"/>
    </row>
    <row r="179" spans="2:10" ht="18.75" customHeight="1">
      <c r="B179" s="567" t="s">
        <v>644</v>
      </c>
      <c r="C179" s="818" t="s">
        <v>645</v>
      </c>
      <c r="D179" s="818"/>
      <c r="E179" s="818"/>
      <c r="F179" s="568" t="s">
        <v>103</v>
      </c>
      <c r="G179" s="141">
        <v>0.1</v>
      </c>
      <c r="H179" s="141">
        <v>7.37</v>
      </c>
      <c r="I179" s="406">
        <f>ROUND(G179*H179,2)</f>
        <v>0.74</v>
      </c>
      <c r="J179" s="134"/>
    </row>
    <row r="180" spans="2:10" ht="33" customHeight="1">
      <c r="B180" s="567" t="s">
        <v>717</v>
      </c>
      <c r="C180" s="818" t="s">
        <v>718</v>
      </c>
      <c r="D180" s="818"/>
      <c r="E180" s="818"/>
      <c r="F180" s="568" t="s">
        <v>116</v>
      </c>
      <c r="G180" s="141">
        <v>1.05</v>
      </c>
      <c r="H180" s="141">
        <v>7.29</v>
      </c>
      <c r="I180" s="406">
        <f>ROUND(G180*H180,2)</f>
        <v>7.65</v>
      </c>
      <c r="J180" s="134"/>
    </row>
    <row r="181" spans="2:10" ht="28.5" customHeight="1">
      <c r="B181" s="567" t="s">
        <v>719</v>
      </c>
      <c r="C181" s="818" t="s">
        <v>720</v>
      </c>
      <c r="D181" s="818"/>
      <c r="E181" s="818"/>
      <c r="F181" s="568" t="s">
        <v>116</v>
      </c>
      <c r="G181" s="141">
        <v>1.4</v>
      </c>
      <c r="H181" s="141">
        <v>4.94</v>
      </c>
      <c r="I181" s="406">
        <f>ROUND(G181*H181,2)</f>
        <v>6.92</v>
      </c>
      <c r="J181" s="134"/>
    </row>
    <row r="182" spans="2:10" ht="18.75" customHeight="1">
      <c r="B182" s="827" t="s">
        <v>104</v>
      </c>
      <c r="C182" s="828"/>
      <c r="D182" s="828"/>
      <c r="E182" s="828"/>
      <c r="F182" s="828"/>
      <c r="G182" s="828"/>
      <c r="H182" s="828"/>
      <c r="I182" s="407">
        <f>SUM(I178:I181)</f>
        <v>19.66</v>
      </c>
      <c r="J182" s="134"/>
    </row>
    <row r="183" spans="2:10" ht="18.75" customHeight="1">
      <c r="B183" s="829"/>
      <c r="C183" s="830"/>
      <c r="D183" s="830"/>
      <c r="E183" s="830"/>
      <c r="F183" s="830"/>
      <c r="G183" s="830"/>
      <c r="H183" s="830"/>
      <c r="I183" s="831"/>
      <c r="J183" s="134"/>
    </row>
    <row r="184" spans="2:10" ht="18.75" customHeight="1" thickBot="1">
      <c r="B184" s="832" t="s">
        <v>294</v>
      </c>
      <c r="C184" s="833"/>
      <c r="D184" s="833"/>
      <c r="E184" s="833"/>
      <c r="F184" s="833"/>
      <c r="G184" s="833"/>
      <c r="H184" s="833"/>
      <c r="I184" s="408">
        <f>I176+I182</f>
        <v>41.519999999999996</v>
      </c>
      <c r="J184" s="134"/>
    </row>
    <row r="185" spans="2:9" ht="18" customHeight="1" thickBot="1">
      <c r="B185" s="154"/>
      <c r="C185" s="154"/>
      <c r="D185" s="154"/>
      <c r="E185" s="154"/>
      <c r="F185" s="154"/>
      <c r="G185" s="154"/>
      <c r="H185" s="154"/>
      <c r="I185" s="268"/>
    </row>
    <row r="186" spans="2:9" ht="18" customHeight="1">
      <c r="B186" s="836" t="s">
        <v>295</v>
      </c>
      <c r="C186" s="837"/>
      <c r="D186" s="837"/>
      <c r="E186" s="837"/>
      <c r="F186" s="837"/>
      <c r="G186" s="837"/>
      <c r="H186" s="837"/>
      <c r="I186" s="838"/>
    </row>
    <row r="187" spans="2:9" ht="18" customHeight="1">
      <c r="B187" s="843" t="s">
        <v>94</v>
      </c>
      <c r="C187" s="844"/>
      <c r="D187" s="494">
        <f>I205</f>
        <v>174.78</v>
      </c>
      <c r="E187" s="495"/>
      <c r="F187" s="495"/>
      <c r="G187" s="496"/>
      <c r="H187" s="496"/>
      <c r="I187" s="497" t="s">
        <v>296</v>
      </c>
    </row>
    <row r="188" spans="2:9" ht="18" customHeight="1">
      <c r="B188" s="498"/>
      <c r="C188" s="499"/>
      <c r="D188" s="499"/>
      <c r="E188" s="499"/>
      <c r="F188" s="499"/>
      <c r="G188" s="499"/>
      <c r="H188" s="499"/>
      <c r="I188" s="500"/>
    </row>
    <row r="189" spans="2:9" ht="18" customHeight="1">
      <c r="B189" s="409" t="s">
        <v>35</v>
      </c>
      <c r="C189" s="157" t="s">
        <v>95</v>
      </c>
      <c r="D189" s="157"/>
      <c r="E189" s="157"/>
      <c r="F189" s="157" t="s">
        <v>3</v>
      </c>
      <c r="G189" s="157" t="s">
        <v>96</v>
      </c>
      <c r="H189" s="157" t="s">
        <v>97</v>
      </c>
      <c r="I189" s="410" t="s">
        <v>98</v>
      </c>
    </row>
    <row r="190" spans="2:9" ht="18" customHeight="1">
      <c r="B190" s="653" t="s">
        <v>99</v>
      </c>
      <c r="C190" s="654"/>
      <c r="D190" s="654"/>
      <c r="E190" s="654"/>
      <c r="F190" s="654"/>
      <c r="G190" s="654"/>
      <c r="H190" s="845"/>
      <c r="I190" s="846"/>
    </row>
    <row r="191" spans="2:9" ht="18" customHeight="1">
      <c r="B191" s="501" t="s">
        <v>297</v>
      </c>
      <c r="C191" s="847" t="s">
        <v>298</v>
      </c>
      <c r="D191" s="847"/>
      <c r="E191" s="847"/>
      <c r="F191" s="502" t="s">
        <v>106</v>
      </c>
      <c r="G191" s="503">
        <v>3</v>
      </c>
      <c r="H191" s="503">
        <v>10.21</v>
      </c>
      <c r="I191" s="403">
        <f>ROUND(G191*H191,2)</f>
        <v>30.63</v>
      </c>
    </row>
    <row r="192" spans="2:9" ht="18" customHeight="1">
      <c r="B192" s="501" t="s">
        <v>299</v>
      </c>
      <c r="C192" s="847" t="s">
        <v>300</v>
      </c>
      <c r="D192" s="847"/>
      <c r="E192" s="847"/>
      <c r="F192" s="502" t="s">
        <v>106</v>
      </c>
      <c r="G192" s="503">
        <v>3</v>
      </c>
      <c r="H192" s="503">
        <v>12.72</v>
      </c>
      <c r="I192" s="403">
        <f>ROUND(G192*H192,2)</f>
        <v>38.16</v>
      </c>
    </row>
    <row r="193" spans="2:9" ht="18" customHeight="1">
      <c r="B193" s="501" t="s">
        <v>108</v>
      </c>
      <c r="C193" s="847" t="s">
        <v>301</v>
      </c>
      <c r="D193" s="847"/>
      <c r="E193" s="847"/>
      <c r="F193" s="502" t="s">
        <v>106</v>
      </c>
      <c r="G193" s="503">
        <v>2.5</v>
      </c>
      <c r="H193" s="503">
        <v>9.76</v>
      </c>
      <c r="I193" s="403">
        <f>ROUND(G193*H193,2)</f>
        <v>24.4</v>
      </c>
    </row>
    <row r="194" spans="2:9" ht="18" customHeight="1">
      <c r="B194" s="825" t="s">
        <v>101</v>
      </c>
      <c r="C194" s="826"/>
      <c r="D194" s="826"/>
      <c r="E194" s="826"/>
      <c r="F194" s="826"/>
      <c r="G194" s="826"/>
      <c r="H194" s="826"/>
      <c r="I194" s="504">
        <f>SUM(I191:I193)</f>
        <v>93.19</v>
      </c>
    </row>
    <row r="195" spans="2:9" ht="18" customHeight="1" thickBot="1">
      <c r="B195" s="867" t="s">
        <v>102</v>
      </c>
      <c r="C195" s="868"/>
      <c r="D195" s="868"/>
      <c r="E195" s="868"/>
      <c r="F195" s="868"/>
      <c r="G195" s="868"/>
      <c r="H195" s="868"/>
      <c r="I195" s="869"/>
    </row>
    <row r="196" spans="2:9" ht="27.75" customHeight="1">
      <c r="B196" s="660" t="s">
        <v>302</v>
      </c>
      <c r="C196" s="839" t="s">
        <v>303</v>
      </c>
      <c r="D196" s="839"/>
      <c r="E196" s="839"/>
      <c r="F196" s="661" t="s">
        <v>116</v>
      </c>
      <c r="G196" s="662">
        <v>12</v>
      </c>
      <c r="H196" s="662">
        <v>1.84</v>
      </c>
      <c r="I196" s="663">
        <f aca="true" t="shared" si="2" ref="I196:I202">ROUND(G196*H196,2)</f>
        <v>22.08</v>
      </c>
    </row>
    <row r="197" spans="2:9" ht="18" customHeight="1">
      <c r="B197" s="505" t="s">
        <v>304</v>
      </c>
      <c r="C197" s="652" t="s">
        <v>305</v>
      </c>
      <c r="D197" s="652"/>
      <c r="E197" s="509"/>
      <c r="F197" s="506" t="s">
        <v>107</v>
      </c>
      <c r="G197" s="507">
        <v>1</v>
      </c>
      <c r="H197" s="507">
        <v>8.99</v>
      </c>
      <c r="I197" s="508">
        <f t="shared" si="2"/>
        <v>8.99</v>
      </c>
    </row>
    <row r="198" spans="2:9" ht="33" customHeight="1">
      <c r="B198" s="505" t="s">
        <v>306</v>
      </c>
      <c r="C198" s="840" t="s">
        <v>307</v>
      </c>
      <c r="D198" s="840"/>
      <c r="E198" s="509"/>
      <c r="F198" s="506" t="s">
        <v>116</v>
      </c>
      <c r="G198" s="507">
        <v>3</v>
      </c>
      <c r="H198" s="507">
        <v>7.23</v>
      </c>
      <c r="I198" s="508">
        <f t="shared" si="2"/>
        <v>21.69</v>
      </c>
    </row>
    <row r="199" spans="2:9" ht="28.5" customHeight="1">
      <c r="B199" s="505" t="s">
        <v>308</v>
      </c>
      <c r="C199" s="840" t="s">
        <v>309</v>
      </c>
      <c r="D199" s="840"/>
      <c r="E199" s="840"/>
      <c r="F199" s="506" t="s">
        <v>107</v>
      </c>
      <c r="G199" s="507">
        <v>0.15</v>
      </c>
      <c r="H199" s="507">
        <v>6</v>
      </c>
      <c r="I199" s="508">
        <f t="shared" si="2"/>
        <v>0.9</v>
      </c>
    </row>
    <row r="200" spans="2:9" ht="18" customHeight="1">
      <c r="B200" s="505" t="s">
        <v>310</v>
      </c>
      <c r="C200" s="652" t="s">
        <v>311</v>
      </c>
      <c r="D200" s="652"/>
      <c r="E200" s="509"/>
      <c r="F200" s="506" t="s">
        <v>107</v>
      </c>
      <c r="G200" s="507">
        <v>2</v>
      </c>
      <c r="H200" s="507">
        <v>6.23</v>
      </c>
      <c r="I200" s="508">
        <f t="shared" si="2"/>
        <v>12.46</v>
      </c>
    </row>
    <row r="201" spans="2:9" ht="18" customHeight="1">
      <c r="B201" s="505" t="s">
        <v>312</v>
      </c>
      <c r="C201" s="652" t="s">
        <v>313</v>
      </c>
      <c r="D201" s="652"/>
      <c r="E201" s="509"/>
      <c r="F201" s="506" t="s">
        <v>107</v>
      </c>
      <c r="G201" s="507">
        <v>1</v>
      </c>
      <c r="H201" s="507">
        <v>1.88</v>
      </c>
      <c r="I201" s="508">
        <f t="shared" si="2"/>
        <v>1.88</v>
      </c>
    </row>
    <row r="202" spans="2:9" ht="18" customHeight="1">
      <c r="B202" s="505" t="s">
        <v>314</v>
      </c>
      <c r="C202" s="652" t="s">
        <v>315</v>
      </c>
      <c r="D202" s="652"/>
      <c r="E202" s="652"/>
      <c r="F202" s="510" t="s">
        <v>107</v>
      </c>
      <c r="G202" s="511">
        <v>1</v>
      </c>
      <c r="H202" s="511">
        <v>13.59</v>
      </c>
      <c r="I202" s="404">
        <f t="shared" si="2"/>
        <v>13.59</v>
      </c>
    </row>
    <row r="203" spans="2:9" ht="18" customHeight="1">
      <c r="B203" s="825" t="s">
        <v>104</v>
      </c>
      <c r="C203" s="826"/>
      <c r="D203" s="826"/>
      <c r="E203" s="826"/>
      <c r="F203" s="826"/>
      <c r="G203" s="826"/>
      <c r="H203" s="826"/>
      <c r="I203" s="504">
        <f>SUM(I196:I202)</f>
        <v>81.59</v>
      </c>
    </row>
    <row r="204" spans="2:9" ht="18" customHeight="1">
      <c r="B204" s="829"/>
      <c r="C204" s="830"/>
      <c r="D204" s="830"/>
      <c r="E204" s="830"/>
      <c r="F204" s="830"/>
      <c r="G204" s="830"/>
      <c r="H204" s="830"/>
      <c r="I204" s="831"/>
    </row>
    <row r="205" spans="2:9" ht="18" customHeight="1" thickBot="1">
      <c r="B205" s="834" t="s">
        <v>105</v>
      </c>
      <c r="C205" s="835"/>
      <c r="D205" s="835"/>
      <c r="E205" s="835"/>
      <c r="F205" s="835"/>
      <c r="G205" s="835"/>
      <c r="H205" s="835"/>
      <c r="I205" s="512">
        <f>I194+I203</f>
        <v>174.78</v>
      </c>
    </row>
    <row r="206" spans="2:9" ht="18" customHeight="1" thickBot="1">
      <c r="B206" s="154"/>
      <c r="C206" s="154"/>
      <c r="D206" s="154"/>
      <c r="E206" s="154"/>
      <c r="F206" s="154"/>
      <c r="G206" s="154"/>
      <c r="H206" s="154"/>
      <c r="I206" s="268"/>
    </row>
    <row r="207" spans="2:9" ht="18" customHeight="1">
      <c r="B207" s="836" t="s">
        <v>721</v>
      </c>
      <c r="C207" s="837"/>
      <c r="D207" s="837"/>
      <c r="E207" s="837"/>
      <c r="F207" s="837"/>
      <c r="G207" s="837"/>
      <c r="H207" s="837"/>
      <c r="I207" s="838"/>
    </row>
    <row r="208" spans="2:9" ht="18" customHeight="1">
      <c r="B208" s="841" t="s">
        <v>94</v>
      </c>
      <c r="C208" s="842"/>
      <c r="D208" s="138">
        <f>I221</f>
        <v>160.90999999999997</v>
      </c>
      <c r="E208" s="139"/>
      <c r="F208" s="139"/>
      <c r="G208" s="140"/>
      <c r="H208" s="140"/>
      <c r="I208" s="405" t="s">
        <v>122</v>
      </c>
    </row>
    <row r="209" spans="2:9" ht="18" customHeight="1">
      <c r="B209" s="819"/>
      <c r="C209" s="820"/>
      <c r="D209" s="820"/>
      <c r="E209" s="820"/>
      <c r="F209" s="820"/>
      <c r="G209" s="820"/>
      <c r="H209" s="820"/>
      <c r="I209" s="821"/>
    </row>
    <row r="210" spans="2:9" ht="18" customHeight="1">
      <c r="B210" s="409" t="s">
        <v>35</v>
      </c>
      <c r="C210" s="157" t="s">
        <v>95</v>
      </c>
      <c r="D210" s="157"/>
      <c r="E210" s="157"/>
      <c r="F210" s="157" t="s">
        <v>3</v>
      </c>
      <c r="G210" s="157" t="s">
        <v>96</v>
      </c>
      <c r="H210" s="157" t="s">
        <v>97</v>
      </c>
      <c r="I210" s="410" t="s">
        <v>98</v>
      </c>
    </row>
    <row r="211" spans="2:9" ht="18" customHeight="1">
      <c r="B211" s="822" t="s">
        <v>99</v>
      </c>
      <c r="C211" s="823"/>
      <c r="D211" s="823"/>
      <c r="E211" s="823"/>
      <c r="F211" s="823"/>
      <c r="G211" s="823"/>
      <c r="H211" s="823"/>
      <c r="I211" s="824"/>
    </row>
    <row r="212" spans="2:9" ht="18" customHeight="1">
      <c r="B212" s="567" t="s">
        <v>120</v>
      </c>
      <c r="C212" s="818" t="s">
        <v>248</v>
      </c>
      <c r="D212" s="818"/>
      <c r="E212" s="818"/>
      <c r="F212" s="568" t="s">
        <v>106</v>
      </c>
      <c r="G212" s="141">
        <v>1.7</v>
      </c>
      <c r="H212" s="141">
        <v>11.67</v>
      </c>
      <c r="I212" s="406">
        <f>ROUND(G212*H212,2)</f>
        <v>19.84</v>
      </c>
    </row>
    <row r="213" spans="2:9" ht="18" customHeight="1">
      <c r="B213" s="567" t="s">
        <v>108</v>
      </c>
      <c r="C213" s="818" t="s">
        <v>109</v>
      </c>
      <c r="D213" s="818"/>
      <c r="E213" s="818"/>
      <c r="F213" s="568" t="s">
        <v>106</v>
      </c>
      <c r="G213" s="141">
        <v>0.85</v>
      </c>
      <c r="H213" s="141">
        <v>9.76</v>
      </c>
      <c r="I213" s="406">
        <f>ROUND(G213*H213,2)</f>
        <v>8.3</v>
      </c>
    </row>
    <row r="214" spans="2:9" ht="18" customHeight="1">
      <c r="B214" s="827" t="s">
        <v>101</v>
      </c>
      <c r="C214" s="828"/>
      <c r="D214" s="828"/>
      <c r="E214" s="828"/>
      <c r="F214" s="828"/>
      <c r="G214" s="828"/>
      <c r="H214" s="828"/>
      <c r="I214" s="407">
        <f>SUM(I212:I213)</f>
        <v>28.14</v>
      </c>
    </row>
    <row r="215" spans="2:9" ht="18" customHeight="1">
      <c r="B215" s="822" t="s">
        <v>121</v>
      </c>
      <c r="C215" s="823"/>
      <c r="D215" s="823"/>
      <c r="E215" s="823"/>
      <c r="F215" s="823"/>
      <c r="G215" s="823"/>
      <c r="H215" s="823"/>
      <c r="I215" s="824"/>
    </row>
    <row r="216" spans="2:9" ht="18" customHeight="1">
      <c r="B216" s="567" t="s">
        <v>722</v>
      </c>
      <c r="C216" s="818" t="s">
        <v>721</v>
      </c>
      <c r="D216" s="818"/>
      <c r="E216" s="818"/>
      <c r="F216" s="568" t="s">
        <v>150</v>
      </c>
      <c r="G216" s="141">
        <v>1.1</v>
      </c>
      <c r="H216" s="141">
        <f>'Cotação de Preço'!E20</f>
        <v>117.9</v>
      </c>
      <c r="I216" s="406">
        <f>ROUND(G216*H216,2)</f>
        <v>129.69</v>
      </c>
    </row>
    <row r="217" spans="2:9" ht="18" customHeight="1">
      <c r="B217" s="567" t="s">
        <v>723</v>
      </c>
      <c r="C217" s="818" t="s">
        <v>724</v>
      </c>
      <c r="D217" s="818"/>
      <c r="E217" s="818"/>
      <c r="F217" s="568" t="s">
        <v>103</v>
      </c>
      <c r="G217" s="141">
        <v>0.38</v>
      </c>
      <c r="H217" s="141">
        <v>2.9</v>
      </c>
      <c r="I217" s="406">
        <f>ROUND(G217*H217,2)</f>
        <v>1.1</v>
      </c>
    </row>
    <row r="218" spans="2:9" ht="18" customHeight="1">
      <c r="B218" s="567" t="s">
        <v>725</v>
      </c>
      <c r="C218" s="818" t="s">
        <v>726</v>
      </c>
      <c r="D218" s="818"/>
      <c r="E218" s="818"/>
      <c r="F218" s="568" t="s">
        <v>103</v>
      </c>
      <c r="G218" s="141">
        <v>4.5</v>
      </c>
      <c r="H218" s="141">
        <v>0.44</v>
      </c>
      <c r="I218" s="406">
        <f>ROUND(G218*H218,2)</f>
        <v>1.98</v>
      </c>
    </row>
    <row r="219" spans="2:9" ht="18" customHeight="1">
      <c r="B219" s="827" t="s">
        <v>104</v>
      </c>
      <c r="C219" s="828"/>
      <c r="D219" s="828"/>
      <c r="E219" s="828"/>
      <c r="F219" s="828"/>
      <c r="G219" s="828"/>
      <c r="H219" s="828"/>
      <c r="I219" s="407">
        <f>SUM(I216:I218)</f>
        <v>132.76999999999998</v>
      </c>
    </row>
    <row r="220" spans="2:9" ht="18" customHeight="1">
      <c r="B220" s="829"/>
      <c r="C220" s="830"/>
      <c r="D220" s="830"/>
      <c r="E220" s="830"/>
      <c r="F220" s="830"/>
      <c r="G220" s="830"/>
      <c r="H220" s="830"/>
      <c r="I220" s="831"/>
    </row>
    <row r="221" spans="2:9" ht="18" customHeight="1" thickBot="1">
      <c r="B221" s="832" t="s">
        <v>105</v>
      </c>
      <c r="C221" s="833"/>
      <c r="D221" s="833"/>
      <c r="E221" s="833"/>
      <c r="F221" s="833"/>
      <c r="G221" s="833"/>
      <c r="H221" s="833"/>
      <c r="I221" s="408">
        <f>I214+I219</f>
        <v>160.90999999999997</v>
      </c>
    </row>
    <row r="222" spans="2:9" ht="18" customHeight="1">
      <c r="B222" s="154"/>
      <c r="C222" s="154"/>
      <c r="D222" s="154"/>
      <c r="E222" s="154"/>
      <c r="F222" s="154"/>
      <c r="G222" s="154"/>
      <c r="H222" s="154"/>
      <c r="I222" s="268"/>
    </row>
    <row r="223" spans="2:9" ht="18" customHeight="1">
      <c r="B223" s="154"/>
      <c r="C223" s="154"/>
      <c r="D223" s="154"/>
      <c r="E223" s="154"/>
      <c r="F223" s="154"/>
      <c r="G223" s="154"/>
      <c r="H223" s="154"/>
      <c r="I223" s="268"/>
    </row>
    <row r="224" spans="2:9" ht="18" customHeight="1">
      <c r="B224" s="154"/>
      <c r="C224" s="154"/>
      <c r="D224" s="154"/>
      <c r="E224" s="154"/>
      <c r="F224" s="154"/>
      <c r="G224" s="154"/>
      <c r="H224" s="154"/>
      <c r="I224" s="268"/>
    </row>
    <row r="225" spans="2:9" ht="18" customHeight="1">
      <c r="B225" s="154"/>
      <c r="C225" s="154"/>
      <c r="D225" s="154"/>
      <c r="E225" s="154"/>
      <c r="F225" s="154"/>
      <c r="G225" s="154"/>
      <c r="H225" s="154"/>
      <c r="I225" s="268"/>
    </row>
    <row r="226" spans="2:9" ht="18" customHeight="1">
      <c r="B226" s="154"/>
      <c r="C226" s="154"/>
      <c r="D226" s="154"/>
      <c r="E226" s="154"/>
      <c r="F226" s="154"/>
      <c r="G226" s="154"/>
      <c r="H226" s="154"/>
      <c r="I226" s="268"/>
    </row>
    <row r="227" spans="2:9" ht="18" customHeight="1">
      <c r="B227" s="154"/>
      <c r="C227" s="154"/>
      <c r="D227" s="154"/>
      <c r="E227" s="154"/>
      <c r="F227" s="154"/>
      <c r="G227" s="154"/>
      <c r="H227" s="154"/>
      <c r="I227" s="268"/>
    </row>
    <row r="228" spans="2:9" ht="18" customHeight="1">
      <c r="B228" s="154"/>
      <c r="C228" s="154"/>
      <c r="D228" s="154"/>
      <c r="E228" s="154"/>
      <c r="F228" s="154"/>
      <c r="G228" s="154"/>
      <c r="H228" s="154"/>
      <c r="I228" s="268"/>
    </row>
    <row r="229" spans="2:9" ht="18" customHeight="1">
      <c r="B229" s="154"/>
      <c r="C229" s="154"/>
      <c r="D229" s="154"/>
      <c r="E229" s="154"/>
      <c r="F229" s="154"/>
      <c r="G229" s="154"/>
      <c r="H229" s="154"/>
      <c r="I229" s="268"/>
    </row>
    <row r="230" spans="2:9" ht="18" customHeight="1">
      <c r="B230" s="154"/>
      <c r="C230" s="154"/>
      <c r="D230" s="154"/>
      <c r="E230" s="154"/>
      <c r="F230" s="154"/>
      <c r="G230" s="154"/>
      <c r="H230" s="154"/>
      <c r="I230" s="268"/>
    </row>
    <row r="231" spans="2:9" ht="18" customHeight="1">
      <c r="B231" s="154"/>
      <c r="C231" s="154"/>
      <c r="D231" s="154"/>
      <c r="E231" s="154"/>
      <c r="F231" s="154"/>
      <c r="G231" s="154"/>
      <c r="H231" s="154"/>
      <c r="I231" s="268"/>
    </row>
    <row r="232" spans="2:9" ht="18" customHeight="1">
      <c r="B232" s="154"/>
      <c r="C232" s="154"/>
      <c r="D232" s="154"/>
      <c r="E232" s="154"/>
      <c r="F232" s="154"/>
      <c r="G232" s="154"/>
      <c r="H232" s="154"/>
      <c r="I232" s="268"/>
    </row>
    <row r="233" spans="2:9" ht="18" customHeight="1">
      <c r="B233" s="142"/>
      <c r="C233" s="132"/>
      <c r="E233" s="144"/>
      <c r="H233" s="132"/>
      <c r="I233" s="132"/>
    </row>
    <row r="234" spans="2:9" ht="18" customHeight="1">
      <c r="B234" s="142"/>
      <c r="C234" s="323" t="str">
        <f>'Pl Orçamentária'!C247:E247</f>
        <v>Teresina (PI),  16 de Fevereiro de  2016</v>
      </c>
      <c r="E234" s="144"/>
      <c r="H234" s="132"/>
      <c r="I234" s="132"/>
    </row>
    <row r="235" spans="2:9" ht="18" customHeight="1">
      <c r="B235" s="142"/>
      <c r="C235" s="132"/>
      <c r="E235" s="144"/>
      <c r="H235" s="132"/>
      <c r="I235" s="132"/>
    </row>
    <row r="236" spans="2:9" ht="18" customHeight="1">
      <c r="B236" s="142"/>
      <c r="C236" s="132"/>
      <c r="E236" s="144"/>
      <c r="H236" s="132"/>
      <c r="I236" s="132"/>
    </row>
    <row r="237" spans="2:9" ht="18" customHeight="1">
      <c r="B237" s="142"/>
      <c r="C237" s="132"/>
      <c r="E237" s="144"/>
      <c r="H237" s="132"/>
      <c r="I237" s="132"/>
    </row>
    <row r="238" spans="2:9" ht="18" customHeight="1">
      <c r="B238" s="132"/>
      <c r="E238" s="144"/>
      <c r="H238" s="132"/>
      <c r="I238" s="132"/>
    </row>
    <row r="239" spans="2:9" ht="18" customHeight="1">
      <c r="B239" s="142"/>
      <c r="C239" s="132"/>
      <c r="E239" s="144"/>
      <c r="H239" s="132"/>
      <c r="I239" s="132"/>
    </row>
    <row r="240" spans="2:9" ht="18" customHeight="1">
      <c r="B240" s="142"/>
      <c r="E240" s="144"/>
      <c r="H240" s="132"/>
      <c r="I240" s="132"/>
    </row>
    <row r="241" spans="2:9" ht="18" customHeight="1">
      <c r="B241" s="142"/>
      <c r="C241" s="132"/>
      <c r="E241" s="144"/>
      <c r="H241" s="132"/>
      <c r="I241" s="132"/>
    </row>
    <row r="242" spans="2:9" ht="18" customHeight="1">
      <c r="B242" s="142"/>
      <c r="C242" s="132"/>
      <c r="E242" s="144"/>
      <c r="H242" s="132"/>
      <c r="I242" s="132"/>
    </row>
    <row r="243" spans="2:9" ht="18" customHeight="1">
      <c r="B243" s="142"/>
      <c r="C243" s="132"/>
      <c r="E243" s="144"/>
      <c r="H243" s="132"/>
      <c r="I243" s="132"/>
    </row>
    <row r="244" spans="2:9" ht="18" customHeight="1">
      <c r="B244" s="142"/>
      <c r="C244" s="132"/>
      <c r="E244" s="144"/>
      <c r="H244" s="132"/>
      <c r="I244" s="132"/>
    </row>
    <row r="245" spans="2:9" ht="18" customHeight="1">
      <c r="B245" s="142"/>
      <c r="C245" s="132"/>
      <c r="E245" s="144"/>
      <c r="H245" s="132"/>
      <c r="I245" s="132"/>
    </row>
    <row r="246" spans="2:9" ht="18" customHeight="1">
      <c r="B246" s="142"/>
      <c r="C246" s="132"/>
      <c r="E246" s="144"/>
      <c r="H246" s="132"/>
      <c r="I246" s="132"/>
    </row>
    <row r="247" spans="2:9" ht="18" customHeight="1">
      <c r="B247" s="142"/>
      <c r="C247" s="132"/>
      <c r="E247" s="144"/>
      <c r="H247" s="132"/>
      <c r="I247" s="132"/>
    </row>
    <row r="248" spans="2:9" ht="18" customHeight="1">
      <c r="B248" s="142"/>
      <c r="C248" s="132"/>
      <c r="E248" s="144"/>
      <c r="H248" s="132"/>
      <c r="I248" s="132"/>
    </row>
    <row r="249" spans="2:9" ht="18" customHeight="1">
      <c r="B249" s="142"/>
      <c r="C249" s="132"/>
      <c r="E249" s="144"/>
      <c r="H249" s="132"/>
      <c r="I249" s="132"/>
    </row>
    <row r="250" spans="2:9" ht="18" customHeight="1">
      <c r="B250" s="142"/>
      <c r="C250" s="132"/>
      <c r="E250" s="144"/>
      <c r="H250" s="132"/>
      <c r="I250" s="132"/>
    </row>
    <row r="251" spans="2:9" ht="18" customHeight="1">
      <c r="B251" s="142"/>
      <c r="C251" s="132"/>
      <c r="E251" s="144"/>
      <c r="H251" s="132"/>
      <c r="I251" s="132"/>
    </row>
    <row r="252" spans="2:9" ht="18" customHeight="1">
      <c r="B252" s="142"/>
      <c r="C252" s="132"/>
      <c r="E252" s="144"/>
      <c r="H252" s="132"/>
      <c r="I252" s="132"/>
    </row>
    <row r="253" spans="2:9" ht="18" customHeight="1">
      <c r="B253" s="142"/>
      <c r="C253" s="132"/>
      <c r="E253" s="144"/>
      <c r="H253" s="132"/>
      <c r="I253" s="132"/>
    </row>
  </sheetData>
  <sheetProtection/>
  <mergeCells count="224">
    <mergeCell ref="B6:E6"/>
    <mergeCell ref="F6:I6"/>
    <mergeCell ref="B7:E7"/>
    <mergeCell ref="F7:I7"/>
    <mergeCell ref="B9:I9"/>
    <mergeCell ref="B11:C11"/>
    <mergeCell ref="D11:E11"/>
    <mergeCell ref="F11:G11"/>
    <mergeCell ref="H11:I11"/>
    <mergeCell ref="B12:I12"/>
    <mergeCell ref="C18:E18"/>
    <mergeCell ref="C19:E19"/>
    <mergeCell ref="B13:I13"/>
    <mergeCell ref="B14:C14"/>
    <mergeCell ref="B15:I15"/>
    <mergeCell ref="B17:G17"/>
    <mergeCell ref="H17:I17"/>
    <mergeCell ref="C142:E142"/>
    <mergeCell ref="C145:E145"/>
    <mergeCell ref="C144:E144"/>
    <mergeCell ref="B146:H146"/>
    <mergeCell ref="H140:I140"/>
    <mergeCell ref="C141:E141"/>
    <mergeCell ref="B147:G147"/>
    <mergeCell ref="C150:E150"/>
    <mergeCell ref="C151:E151"/>
    <mergeCell ref="C152:E152"/>
    <mergeCell ref="C153:E153"/>
    <mergeCell ref="H147:I147"/>
    <mergeCell ref="C148:E148"/>
    <mergeCell ref="C149:E149"/>
    <mergeCell ref="C161:E161"/>
    <mergeCell ref="C162:E162"/>
    <mergeCell ref="C163:E163"/>
    <mergeCell ref="C159:E159"/>
    <mergeCell ref="C160:E160"/>
    <mergeCell ref="B156:G156"/>
    <mergeCell ref="C157:E157"/>
    <mergeCell ref="C158:E158"/>
    <mergeCell ref="C175:E175"/>
    <mergeCell ref="C164:E164"/>
    <mergeCell ref="B165:H165"/>
    <mergeCell ref="B166:G166"/>
    <mergeCell ref="H166:I166"/>
    <mergeCell ref="B167:H167"/>
    <mergeCell ref="B169:I169"/>
    <mergeCell ref="B170:C170"/>
    <mergeCell ref="B171:I171"/>
    <mergeCell ref="B20:G20"/>
    <mergeCell ref="C199:E199"/>
    <mergeCell ref="C192:E192"/>
    <mergeCell ref="B194:H194"/>
    <mergeCell ref="B195:G195"/>
    <mergeCell ref="H195:I195"/>
    <mergeCell ref="H20:I20"/>
    <mergeCell ref="B21:H21"/>
    <mergeCell ref="B23:I23"/>
    <mergeCell ref="B24:C24"/>
    <mergeCell ref="B25:I25"/>
    <mergeCell ref="B27:G27"/>
    <mergeCell ref="H27:I27"/>
    <mergeCell ref="C39:E39"/>
    <mergeCell ref="C28:E28"/>
    <mergeCell ref="C29:E29"/>
    <mergeCell ref="B30:G30"/>
    <mergeCell ref="H30:I30"/>
    <mergeCell ref="B31:H31"/>
    <mergeCell ref="B33:I33"/>
    <mergeCell ref="B40:G40"/>
    <mergeCell ref="H40:I40"/>
    <mergeCell ref="B41:H41"/>
    <mergeCell ref="C191:E191"/>
    <mergeCell ref="C178:E178"/>
    <mergeCell ref="B34:C34"/>
    <mergeCell ref="B35:I35"/>
    <mergeCell ref="B37:G37"/>
    <mergeCell ref="H37:I37"/>
    <mergeCell ref="C38:E38"/>
    <mergeCell ref="B43:I43"/>
    <mergeCell ref="B44:C44"/>
    <mergeCell ref="B45:I45"/>
    <mergeCell ref="B47:G47"/>
    <mergeCell ref="H47:I47"/>
    <mergeCell ref="C48:E48"/>
    <mergeCell ref="C49:E49"/>
    <mergeCell ref="B50:H50"/>
    <mergeCell ref="C52:E52"/>
    <mergeCell ref="C53:E53"/>
    <mergeCell ref="C54:E54"/>
    <mergeCell ref="C55:E55"/>
    <mergeCell ref="B56:H56"/>
    <mergeCell ref="B57:G57"/>
    <mergeCell ref="C58:E58"/>
    <mergeCell ref="B59:H59"/>
    <mergeCell ref="B60:G60"/>
    <mergeCell ref="H60:I60"/>
    <mergeCell ref="B61:H61"/>
    <mergeCell ref="B63:I63"/>
    <mergeCell ref="B64:C64"/>
    <mergeCell ref="B65:I65"/>
    <mergeCell ref="B67:G67"/>
    <mergeCell ref="H67:I67"/>
    <mergeCell ref="C68:E68"/>
    <mergeCell ref="B69:H69"/>
    <mergeCell ref="B70:G70"/>
    <mergeCell ref="H70:I70"/>
    <mergeCell ref="C71:E71"/>
    <mergeCell ref="C72:E72"/>
    <mergeCell ref="B73:H73"/>
    <mergeCell ref="B74:G74"/>
    <mergeCell ref="H74:I74"/>
    <mergeCell ref="B75:H75"/>
    <mergeCell ref="B77:I77"/>
    <mergeCell ref="B78:C78"/>
    <mergeCell ref="B79:I79"/>
    <mergeCell ref="B81:G81"/>
    <mergeCell ref="H81:I81"/>
    <mergeCell ref="C82:E82"/>
    <mergeCell ref="C83:E83"/>
    <mergeCell ref="B84:H84"/>
    <mergeCell ref="B85:G85"/>
    <mergeCell ref="H85:I85"/>
    <mergeCell ref="C86:E86"/>
    <mergeCell ref="C87:E87"/>
    <mergeCell ref="C88:E88"/>
    <mergeCell ref="C89:E89"/>
    <mergeCell ref="B90:H90"/>
    <mergeCell ref="B91:G91"/>
    <mergeCell ref="C92:E92"/>
    <mergeCell ref="B93:H93"/>
    <mergeCell ref="B94:G94"/>
    <mergeCell ref="H94:I94"/>
    <mergeCell ref="B95:H95"/>
    <mergeCell ref="B97:I97"/>
    <mergeCell ref="B98:C98"/>
    <mergeCell ref="B99:I99"/>
    <mergeCell ref="B101:G101"/>
    <mergeCell ref="H101:I101"/>
    <mergeCell ref="C102:E102"/>
    <mergeCell ref="C103:E103"/>
    <mergeCell ref="B104:H104"/>
    <mergeCell ref="B105:G105"/>
    <mergeCell ref="H105:I105"/>
    <mergeCell ref="C106:E106"/>
    <mergeCell ref="C107:E107"/>
    <mergeCell ref="C108:E108"/>
    <mergeCell ref="B109:H109"/>
    <mergeCell ref="B110:G110"/>
    <mergeCell ref="C111:E111"/>
    <mergeCell ref="C112:E112"/>
    <mergeCell ref="B113:H113"/>
    <mergeCell ref="B114:G114"/>
    <mergeCell ref="H114:I114"/>
    <mergeCell ref="B115:H115"/>
    <mergeCell ref="B117:I117"/>
    <mergeCell ref="B118:C118"/>
    <mergeCell ref="B119:I119"/>
    <mergeCell ref="B121:G121"/>
    <mergeCell ref="H121:I121"/>
    <mergeCell ref="C122:E122"/>
    <mergeCell ref="C124:E124"/>
    <mergeCell ref="B125:H125"/>
    <mergeCell ref="B126:G126"/>
    <mergeCell ref="H126:I126"/>
    <mergeCell ref="C127:E127"/>
    <mergeCell ref="C128:E128"/>
    <mergeCell ref="B129:H129"/>
    <mergeCell ref="B130:G130"/>
    <mergeCell ref="C131:E131"/>
    <mergeCell ref="B132:H132"/>
    <mergeCell ref="B133:G133"/>
    <mergeCell ref="H133:I133"/>
    <mergeCell ref="B134:H134"/>
    <mergeCell ref="C143:E143"/>
    <mergeCell ref="B136:I136"/>
    <mergeCell ref="B137:C137"/>
    <mergeCell ref="B138:I138"/>
    <mergeCell ref="B140:G140"/>
    <mergeCell ref="C179:E179"/>
    <mergeCell ref="B184:H184"/>
    <mergeCell ref="C154:E154"/>
    <mergeCell ref="B155:H155"/>
    <mergeCell ref="B173:G173"/>
    <mergeCell ref="H173:I173"/>
    <mergeCell ref="B176:H176"/>
    <mergeCell ref="B177:G177"/>
    <mergeCell ref="H177:I177"/>
    <mergeCell ref="C174:E174"/>
    <mergeCell ref="B182:H182"/>
    <mergeCell ref="B186:I186"/>
    <mergeCell ref="B208:C208"/>
    <mergeCell ref="C180:E180"/>
    <mergeCell ref="C181:E181"/>
    <mergeCell ref="B183:G183"/>
    <mergeCell ref="H183:I183"/>
    <mergeCell ref="B187:C187"/>
    <mergeCell ref="H190:I190"/>
    <mergeCell ref="C193:E193"/>
    <mergeCell ref="B204:G204"/>
    <mergeCell ref="H204:I204"/>
    <mergeCell ref="B205:H205"/>
    <mergeCell ref="B207:I207"/>
    <mergeCell ref="C196:E196"/>
    <mergeCell ref="C198:D198"/>
    <mergeCell ref="B219:H219"/>
    <mergeCell ref="B220:G220"/>
    <mergeCell ref="H220:I220"/>
    <mergeCell ref="B221:H221"/>
    <mergeCell ref="C212:E212"/>
    <mergeCell ref="C213:E213"/>
    <mergeCell ref="B214:H214"/>
    <mergeCell ref="B215:G215"/>
    <mergeCell ref="H215:I215"/>
    <mergeCell ref="C216:E216"/>
    <mergeCell ref="D3:I3"/>
    <mergeCell ref="D4:I4"/>
    <mergeCell ref="B2:C4"/>
    <mergeCell ref="D2:I2"/>
    <mergeCell ref="C217:E217"/>
    <mergeCell ref="C218:E218"/>
    <mergeCell ref="B209:I209"/>
    <mergeCell ref="B211:G211"/>
    <mergeCell ref="H211:I211"/>
    <mergeCell ref="B203:H20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headerFooter alignWithMargins="0"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/>
  <dimension ref="A3:X119"/>
  <sheetViews>
    <sheetView view="pageBreakPreview" zoomScale="87" zoomScaleNormal="89" zoomScaleSheetLayoutView="87" zoomScalePageLayoutView="0" workbookViewId="0" topLeftCell="A1">
      <selection activeCell="B15" sqref="B15:C15"/>
    </sheetView>
  </sheetViews>
  <sheetFormatPr defaultColWidth="9.140625" defaultRowHeight="15"/>
  <cols>
    <col min="2" max="2" width="39.00390625" style="0" customWidth="1"/>
    <col min="3" max="3" width="15.00390625" style="0" customWidth="1"/>
    <col min="5" max="5" width="19.00390625" style="0" customWidth="1"/>
    <col min="7" max="7" width="12.57421875" style="0" customWidth="1"/>
  </cols>
  <sheetData>
    <row r="3" spans="2:12" ht="15" customHeight="1">
      <c r="B3" s="25"/>
      <c r="C3" s="26"/>
      <c r="D3" s="903" t="s">
        <v>40</v>
      </c>
      <c r="E3" s="904"/>
      <c r="F3" s="904"/>
      <c r="G3" s="905"/>
      <c r="H3" s="64"/>
      <c r="I3" s="64"/>
      <c r="J3" s="64"/>
      <c r="K3" s="64"/>
      <c r="L3" s="64"/>
    </row>
    <row r="4" spans="2:12" ht="15" customHeight="1">
      <c r="B4" s="27"/>
      <c r="C4" s="28"/>
      <c r="D4" s="906"/>
      <c r="E4" s="907"/>
      <c r="F4" s="907"/>
      <c r="G4" s="908"/>
      <c r="H4" s="64"/>
      <c r="I4" s="64"/>
      <c r="J4" s="64"/>
      <c r="K4" s="64"/>
      <c r="L4" s="64"/>
    </row>
    <row r="5" spans="2:12" ht="15" customHeight="1">
      <c r="B5" s="27"/>
      <c r="C5" s="28"/>
      <c r="D5" s="909" t="s">
        <v>41</v>
      </c>
      <c r="E5" s="910"/>
      <c r="F5" s="910"/>
      <c r="G5" s="911"/>
      <c r="H5" s="907"/>
      <c r="I5" s="907"/>
      <c r="J5" s="907"/>
      <c r="K5" s="907"/>
      <c r="L5" s="907"/>
    </row>
    <row r="6" spans="2:12" ht="15" customHeight="1">
      <c r="B6" s="27"/>
      <c r="C6" s="28"/>
      <c r="D6" s="912"/>
      <c r="E6" s="913"/>
      <c r="F6" s="913"/>
      <c r="G6" s="914"/>
      <c r="H6" s="907"/>
      <c r="I6" s="907"/>
      <c r="J6" s="907"/>
      <c r="K6" s="907"/>
      <c r="L6" s="907"/>
    </row>
    <row r="7" spans="2:12" ht="15" customHeight="1">
      <c r="B7" s="27"/>
      <c r="C7" s="28"/>
      <c r="D7" s="915" t="s">
        <v>29</v>
      </c>
      <c r="E7" s="916"/>
      <c r="F7" s="916"/>
      <c r="G7" s="917"/>
      <c r="H7" s="907"/>
      <c r="I7" s="907"/>
      <c r="J7" s="907"/>
      <c r="K7" s="907"/>
      <c r="L7" s="907"/>
    </row>
    <row r="8" spans="2:12" ht="15" customHeight="1">
      <c r="B8" s="29"/>
      <c r="C8" s="30"/>
      <c r="D8" s="918"/>
      <c r="E8" s="919"/>
      <c r="F8" s="919"/>
      <c r="G8" s="920"/>
      <c r="H8" s="907"/>
      <c r="I8" s="907"/>
      <c r="J8" s="907"/>
      <c r="K8" s="907"/>
      <c r="L8" s="907"/>
    </row>
    <row r="9" spans="2:12" ht="4.5" customHeight="1">
      <c r="B9" s="8"/>
      <c r="C9" s="9"/>
      <c r="D9" s="9"/>
      <c r="E9" s="9"/>
      <c r="F9" s="8"/>
      <c r="G9" s="15"/>
      <c r="H9" s="18"/>
      <c r="I9" s="15"/>
      <c r="J9" s="15"/>
      <c r="K9" s="13"/>
      <c r="L9" s="10"/>
    </row>
    <row r="10" spans="2:12" ht="28.5" customHeight="1">
      <c r="B10" s="890" t="s">
        <v>759</v>
      </c>
      <c r="C10" s="891"/>
      <c r="D10" s="892" t="s">
        <v>366</v>
      </c>
      <c r="E10" s="893"/>
      <c r="F10" s="893"/>
      <c r="G10" s="893"/>
      <c r="H10" s="65"/>
      <c r="I10" s="65"/>
      <c r="J10" s="65"/>
      <c r="K10" s="65"/>
      <c r="L10" s="65"/>
    </row>
    <row r="11" spans="2:12" ht="18" customHeight="1">
      <c r="B11" s="890" t="s">
        <v>126</v>
      </c>
      <c r="C11" s="891"/>
      <c r="D11" s="894" t="str">
        <f>'Pl Orçamentária'!F10</f>
        <v>Data Base: Dezembro de 2015/Com Desoneração</v>
      </c>
      <c r="E11" s="894"/>
      <c r="F11" s="894"/>
      <c r="G11" s="894"/>
      <c r="H11" s="66"/>
      <c r="I11" s="66"/>
      <c r="J11" s="66"/>
      <c r="K11" s="66"/>
      <c r="L11" s="66"/>
    </row>
    <row r="12" spans="2:12" ht="4.5" customHeight="1" thickBot="1">
      <c r="B12" s="679"/>
      <c r="C12" s="680"/>
      <c r="D12" s="75"/>
      <c r="E12" s="75"/>
      <c r="F12" s="74"/>
      <c r="G12" s="67"/>
      <c r="H12" s="19"/>
      <c r="I12" s="67"/>
      <c r="J12" s="67"/>
      <c r="K12" s="68"/>
      <c r="L12" s="69"/>
    </row>
    <row r="13" spans="2:12" ht="27.75" customHeight="1" thickBot="1">
      <c r="B13" s="895" t="s">
        <v>72</v>
      </c>
      <c r="C13" s="896"/>
      <c r="D13" s="896"/>
      <c r="E13" s="896"/>
      <c r="F13" s="896"/>
      <c r="G13" s="897"/>
      <c r="H13" s="70"/>
      <c r="I13" s="70"/>
      <c r="J13" s="70"/>
      <c r="K13" s="70"/>
      <c r="L13" s="70"/>
    </row>
    <row r="14" spans="2:12" ht="4.5" customHeight="1" thickBot="1">
      <c r="B14" s="3"/>
      <c r="C14" s="1"/>
      <c r="D14" s="1"/>
      <c r="E14" s="1"/>
      <c r="F14" s="2"/>
      <c r="G14" s="16"/>
      <c r="H14" s="20"/>
      <c r="I14" s="16"/>
      <c r="J14" s="16"/>
      <c r="K14" s="14"/>
      <c r="L14" s="11"/>
    </row>
    <row r="15" spans="1:24" ht="21.75" customHeight="1" thickBot="1">
      <c r="A15" s="55"/>
      <c r="B15" s="898" t="s">
        <v>73</v>
      </c>
      <c r="C15" s="899"/>
      <c r="D15" s="900" t="s">
        <v>229</v>
      </c>
      <c r="E15" s="901"/>
      <c r="F15" s="901"/>
      <c r="G15" s="902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 ht="19.5" customHeight="1">
      <c r="A16" s="55"/>
      <c r="B16" s="922" t="s">
        <v>74</v>
      </c>
      <c r="C16" s="922"/>
      <c r="D16" s="921">
        <v>7.3</v>
      </c>
      <c r="E16" s="921"/>
      <c r="F16" s="921"/>
      <c r="G16" s="921"/>
      <c r="H16" s="296">
        <f aca="true" t="shared" si="0" ref="H16:H23">D16/100</f>
        <v>0.073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ht="19.5" customHeight="1">
      <c r="A17" s="55"/>
      <c r="B17" s="923" t="s">
        <v>75</v>
      </c>
      <c r="C17" s="923"/>
      <c r="D17" s="889">
        <v>3</v>
      </c>
      <c r="E17" s="889"/>
      <c r="F17" s="889"/>
      <c r="G17" s="889"/>
      <c r="H17" s="296">
        <f t="shared" si="0"/>
        <v>0.03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ht="19.5" customHeight="1">
      <c r="A18" s="55"/>
      <c r="B18" s="923" t="s">
        <v>76</v>
      </c>
      <c r="C18" s="923"/>
      <c r="D18" s="889">
        <v>1.23</v>
      </c>
      <c r="E18" s="889"/>
      <c r="F18" s="889"/>
      <c r="G18" s="889"/>
      <c r="H18" s="296">
        <f t="shared" si="0"/>
        <v>0.0123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19.5" customHeight="1">
      <c r="A19" s="55"/>
      <c r="B19" s="923" t="s">
        <v>57</v>
      </c>
      <c r="C19" s="923"/>
      <c r="D19" s="889">
        <v>3</v>
      </c>
      <c r="E19" s="889"/>
      <c r="F19" s="889"/>
      <c r="G19" s="889"/>
      <c r="H19" s="296">
        <f t="shared" si="0"/>
        <v>0.03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ht="19.5" customHeight="1">
      <c r="A20" s="55"/>
      <c r="B20" s="923" t="s">
        <v>56</v>
      </c>
      <c r="C20" s="923"/>
      <c r="D20" s="889">
        <v>0.65</v>
      </c>
      <c r="E20" s="889"/>
      <c r="F20" s="889"/>
      <c r="G20" s="889"/>
      <c r="H20" s="296">
        <f t="shared" si="0"/>
        <v>0.006500000000000001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19.5" customHeight="1">
      <c r="A21" s="55"/>
      <c r="B21" s="923" t="s">
        <v>77</v>
      </c>
      <c r="C21" s="923"/>
      <c r="D21" s="889">
        <v>2</v>
      </c>
      <c r="E21" s="889"/>
      <c r="F21" s="889"/>
      <c r="G21" s="889"/>
      <c r="H21" s="296">
        <f t="shared" si="0"/>
        <v>0.02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ht="19.5" customHeight="1">
      <c r="A22" s="55"/>
      <c r="B22" s="923" t="s">
        <v>78</v>
      </c>
      <c r="C22" s="923"/>
      <c r="D22" s="889">
        <v>3</v>
      </c>
      <c r="E22" s="889"/>
      <c r="F22" s="889"/>
      <c r="G22" s="889"/>
      <c r="H22" s="296">
        <f t="shared" si="0"/>
        <v>0.03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ht="19.5" customHeight="1">
      <c r="A23" s="55"/>
      <c r="B23" s="923" t="s">
        <v>79</v>
      </c>
      <c r="C23" s="923"/>
      <c r="D23" s="889">
        <f>0.8+1.27</f>
        <v>2.0700000000000003</v>
      </c>
      <c r="E23" s="889"/>
      <c r="F23" s="889"/>
      <c r="G23" s="889"/>
      <c r="H23" s="296">
        <f t="shared" si="0"/>
        <v>0.020700000000000003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  <row r="24" spans="1:24" ht="15.75">
      <c r="A24" s="55"/>
      <c r="B24" s="56"/>
      <c r="C24" s="57"/>
      <c r="D24" s="71"/>
      <c r="E24" s="42"/>
      <c r="F24" s="42"/>
      <c r="G24" s="42"/>
      <c r="H24" s="58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ht="15.75">
      <c r="A25" s="55"/>
      <c r="B25" s="56"/>
      <c r="C25" s="888"/>
      <c r="D25" s="888"/>
      <c r="E25" s="888"/>
      <c r="F25" s="42"/>
      <c r="G25" s="42"/>
      <c r="H25" s="58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ht="15.75">
      <c r="A26" s="55"/>
      <c r="B26" s="56"/>
      <c r="C26" s="57"/>
      <c r="D26" s="71"/>
      <c r="E26" s="42"/>
      <c r="F26" s="42"/>
      <c r="G26" s="42"/>
      <c r="H26" s="58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24" ht="15.75">
      <c r="A27" s="55"/>
      <c r="B27" s="56"/>
      <c r="C27" s="57"/>
      <c r="D27" s="71"/>
      <c r="E27" s="42"/>
      <c r="F27" s="42"/>
      <c r="G27" s="42"/>
      <c r="H27" s="58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ht="15">
      <c r="A28" s="55"/>
      <c r="B28" s="59"/>
      <c r="C28" s="60"/>
      <c r="D28" s="71"/>
      <c r="E28" s="42"/>
      <c r="F28" s="42"/>
      <c r="G28" s="42"/>
      <c r="H28" s="58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4" ht="15">
      <c r="A29" s="55"/>
      <c r="B29" s="59"/>
      <c r="C29" s="60"/>
      <c r="D29" s="71"/>
      <c r="E29" s="42"/>
      <c r="F29" s="42"/>
      <c r="G29" s="42"/>
      <c r="H29" s="58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ht="18.75">
      <c r="A30" s="55"/>
      <c r="B30" s="59"/>
      <c r="C30" s="60"/>
      <c r="D30" s="71"/>
      <c r="E30" s="42"/>
      <c r="F30" s="42"/>
      <c r="G30" s="42"/>
      <c r="H30" s="61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ht="18.75">
      <c r="A31" s="55"/>
      <c r="B31" s="62"/>
      <c r="C31" s="63"/>
      <c r="D31" s="42"/>
      <c r="E31" s="42"/>
      <c r="F31" s="42"/>
      <c r="G31" s="42"/>
      <c r="H31" s="61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ht="18.75">
      <c r="A32" s="55"/>
      <c r="B32" s="62"/>
      <c r="C32" s="63"/>
      <c r="D32" s="42"/>
      <c r="E32" s="42"/>
      <c r="F32" s="42"/>
      <c r="G32" s="42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ht="18.75">
      <c r="A33" s="55"/>
      <c r="B33" s="62"/>
      <c r="C33" s="63"/>
      <c r="D33" s="42"/>
      <c r="E33" s="42"/>
      <c r="F33" s="42"/>
      <c r="G33" s="42"/>
      <c r="H33" s="61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ht="18.75">
      <c r="A34" s="55"/>
      <c r="B34" s="62"/>
      <c r="C34" s="63"/>
      <c r="D34" s="42"/>
      <c r="E34" s="42"/>
      <c r="F34" s="42"/>
      <c r="G34" s="42"/>
      <c r="H34" s="6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ht="18.75">
      <c r="A35" s="55"/>
      <c r="B35" s="62"/>
      <c r="C35" s="63"/>
      <c r="D35" s="42"/>
      <c r="E35" s="42"/>
      <c r="F35" s="42"/>
      <c r="G35" s="42"/>
      <c r="H35" s="61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ht="18.75">
      <c r="A36" s="55"/>
      <c r="B36" s="62"/>
      <c r="C36" s="63"/>
      <c r="D36" s="42"/>
      <c r="E36" s="42"/>
      <c r="F36" s="42"/>
      <c r="G36" s="42"/>
      <c r="H36" s="61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24" ht="18.75">
      <c r="A37" s="55"/>
      <c r="B37" s="62"/>
      <c r="C37" s="63"/>
      <c r="D37" s="42"/>
      <c r="E37" s="42"/>
      <c r="F37" s="42"/>
      <c r="G37" s="42"/>
      <c r="H37" s="61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1:24" ht="18.75">
      <c r="A38" s="55"/>
      <c r="B38" s="62"/>
      <c r="C38" s="63"/>
      <c r="D38" s="42"/>
      <c r="E38" s="42"/>
      <c r="F38" s="42"/>
      <c r="G38" s="42"/>
      <c r="H38" s="61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4" ht="18.75">
      <c r="A39" s="55"/>
      <c r="B39" s="62"/>
      <c r="C39" s="63"/>
      <c r="D39" s="42"/>
      <c r="E39" s="42"/>
      <c r="F39" s="42"/>
      <c r="G39" s="42"/>
      <c r="H39" s="61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1:24" ht="18.75">
      <c r="A40" s="55"/>
      <c r="B40" s="73" t="s">
        <v>80</v>
      </c>
      <c r="C40" s="72">
        <f>(D17+D23)</f>
        <v>5.07</v>
      </c>
      <c r="D40" s="42"/>
      <c r="E40" s="42"/>
      <c r="F40" s="42"/>
      <c r="G40" s="42"/>
      <c r="H40" s="61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1:24" ht="18.75">
      <c r="A41" s="55"/>
      <c r="B41" s="73" t="s">
        <v>81</v>
      </c>
      <c r="C41" s="72">
        <f>D18</f>
        <v>1.23</v>
      </c>
      <c r="D41" s="42"/>
      <c r="E41" s="42"/>
      <c r="F41" s="42"/>
      <c r="G41" s="42"/>
      <c r="H41" s="61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4" ht="18.75">
      <c r="A42" s="55"/>
      <c r="B42" s="73" t="s">
        <v>82</v>
      </c>
      <c r="C42" s="72">
        <f>D16</f>
        <v>7.3</v>
      </c>
      <c r="D42" s="42"/>
      <c r="E42" s="42"/>
      <c r="F42" s="42"/>
      <c r="G42" s="42"/>
      <c r="H42" s="61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4" ht="18.75">
      <c r="A43" s="55"/>
      <c r="B43" s="73" t="s">
        <v>83</v>
      </c>
      <c r="C43" s="72">
        <f>(D19+D20+D21+D22)</f>
        <v>8.65</v>
      </c>
      <c r="D43" s="42"/>
      <c r="E43" s="42"/>
      <c r="F43" s="42"/>
      <c r="G43" s="42"/>
      <c r="H43" s="61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24" ht="18.75">
      <c r="A44" s="55"/>
      <c r="B44" s="42" t="s">
        <v>84</v>
      </c>
      <c r="C44" s="42"/>
      <c r="D44" s="42"/>
      <c r="E44" s="42"/>
      <c r="F44" s="42"/>
      <c r="G44" s="42"/>
      <c r="H44" s="61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1:24" ht="19.5" thickBot="1">
      <c r="A45" s="55"/>
      <c r="B45" s="42"/>
      <c r="C45" s="42"/>
      <c r="D45" s="42"/>
      <c r="E45" s="42"/>
      <c r="F45" s="42"/>
      <c r="G45" s="42"/>
      <c r="H45" s="61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1:24" ht="19.5" thickBot="1">
      <c r="A46" s="55"/>
      <c r="B46" s="158"/>
      <c r="C46" s="159" t="s">
        <v>85</v>
      </c>
      <c r="D46" s="160">
        <f>ROUND((((((1+H17+H23)*(1+H18)*(1+H16))/(1-(H19+H20+H21+H22)))-1))*100,2)</f>
        <v>24.93</v>
      </c>
      <c r="E46" s="161"/>
      <c r="F46" s="161"/>
      <c r="G46" s="162"/>
      <c r="H46" s="61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1:24" ht="18.75">
      <c r="A47" s="55"/>
      <c r="B47" s="42"/>
      <c r="C47" s="42"/>
      <c r="D47" s="42"/>
      <c r="E47" s="42"/>
      <c r="F47" s="42"/>
      <c r="G47" s="42"/>
      <c r="H47" s="61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ht="15">
      <c r="A48" s="55"/>
      <c r="B48" s="42"/>
      <c r="C48" s="42"/>
      <c r="D48" s="42"/>
      <c r="E48" s="42"/>
      <c r="F48" s="42"/>
      <c r="G48" s="42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1:24" ht="18.75">
      <c r="A49" s="55"/>
      <c r="B49" s="42"/>
      <c r="C49" s="42"/>
      <c r="D49" s="42"/>
      <c r="E49" s="42"/>
      <c r="F49" s="42"/>
      <c r="G49" s="42"/>
      <c r="H49" s="61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1:24" ht="18.75">
      <c r="A50" s="55"/>
      <c r="B50" s="703" t="str">
        <f>'Pl Orçamentária'!C247</f>
        <v>Teresina (PI),  16 de Fevereiro de  2016</v>
      </c>
      <c r="C50" s="703"/>
      <c r="D50" s="42"/>
      <c r="E50" s="42"/>
      <c r="F50" s="42"/>
      <c r="G50" s="42"/>
      <c r="H50" s="61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1:24" ht="18.75">
      <c r="A51" s="55"/>
      <c r="B51" s="42"/>
      <c r="C51" s="42"/>
      <c r="D51" s="42"/>
      <c r="E51" s="42"/>
      <c r="F51" s="42"/>
      <c r="G51" s="42"/>
      <c r="H51" s="61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1:24" ht="18.75">
      <c r="A52" s="55"/>
      <c r="B52" s="42"/>
      <c r="C52" s="42"/>
      <c r="D52" s="42"/>
      <c r="E52" s="42"/>
      <c r="F52" s="42"/>
      <c r="G52" s="42"/>
      <c r="H52" s="61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ht="18.75">
      <c r="A53" s="55"/>
      <c r="D53" s="42"/>
      <c r="E53" s="42"/>
      <c r="F53" s="42"/>
      <c r="G53" s="42"/>
      <c r="H53" s="61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ht="18.75">
      <c r="A54" s="55"/>
      <c r="B54" s="42"/>
      <c r="C54" s="42"/>
      <c r="D54" s="42"/>
      <c r="E54" s="42"/>
      <c r="F54" s="42"/>
      <c r="G54" s="42"/>
      <c r="H54" s="61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1:24" ht="18.75">
      <c r="A55" s="55"/>
      <c r="B55" s="42"/>
      <c r="C55" s="42"/>
      <c r="D55" s="42"/>
      <c r="E55" s="42"/>
      <c r="F55" s="42"/>
      <c r="G55" s="42"/>
      <c r="H55" s="61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ht="18.75">
      <c r="A56" s="55"/>
      <c r="B56" s="42"/>
      <c r="C56" s="42"/>
      <c r="D56" s="42"/>
      <c r="E56" s="42"/>
      <c r="F56" s="42"/>
      <c r="G56" s="42"/>
      <c r="H56" s="61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ht="18.75">
      <c r="A57" s="55"/>
      <c r="B57" s="42"/>
      <c r="C57" s="42"/>
      <c r="D57" s="42"/>
      <c r="E57" s="42"/>
      <c r="F57" s="42"/>
      <c r="G57" s="42"/>
      <c r="H57" s="61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1:24" ht="18.75">
      <c r="A58" s="55"/>
      <c r="B58" s="55"/>
      <c r="C58" s="55"/>
      <c r="D58" s="55"/>
      <c r="E58" s="55"/>
      <c r="F58" s="55"/>
      <c r="G58" s="55"/>
      <c r="H58" s="61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ht="18.75">
      <c r="A59" s="55"/>
      <c r="B59" s="55"/>
      <c r="C59" s="55"/>
      <c r="D59" s="55"/>
      <c r="E59" s="55"/>
      <c r="F59" s="55"/>
      <c r="G59" s="55"/>
      <c r="H59" s="61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1:24" ht="18.75">
      <c r="A60" s="55"/>
      <c r="B60" s="55"/>
      <c r="C60" s="55"/>
      <c r="D60" s="55"/>
      <c r="E60" s="55"/>
      <c r="F60" s="55"/>
      <c r="G60" s="55"/>
      <c r="H60" s="61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24" ht="18.75">
      <c r="A61" s="55"/>
      <c r="B61" s="55"/>
      <c r="C61" s="55"/>
      <c r="D61" s="55"/>
      <c r="E61" s="55"/>
      <c r="F61" s="55"/>
      <c r="G61" s="55"/>
      <c r="H61" s="61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24" ht="18.75">
      <c r="A62" s="55"/>
      <c r="B62" s="55"/>
      <c r="C62" s="55"/>
      <c r="D62" s="55"/>
      <c r="E62" s="55"/>
      <c r="F62" s="55"/>
      <c r="G62" s="55"/>
      <c r="H62" s="61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1:24" ht="18.75">
      <c r="A63" s="55"/>
      <c r="B63" s="55"/>
      <c r="C63" s="55"/>
      <c r="D63" s="55"/>
      <c r="E63" s="55"/>
      <c r="F63" s="55"/>
      <c r="G63" s="55"/>
      <c r="H63" s="61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1:24" ht="18.75">
      <c r="A64" s="55"/>
      <c r="B64" s="55"/>
      <c r="C64" s="55"/>
      <c r="D64" s="55"/>
      <c r="E64" s="55"/>
      <c r="F64" s="55"/>
      <c r="G64" s="55"/>
      <c r="H64" s="61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1:24" ht="18.75">
      <c r="A65" s="55"/>
      <c r="B65" s="55"/>
      <c r="C65" s="55"/>
      <c r="D65" s="55"/>
      <c r="E65" s="55"/>
      <c r="F65" s="55"/>
      <c r="G65" s="55"/>
      <c r="H65" s="61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1:24" ht="18.75">
      <c r="A66" s="55"/>
      <c r="B66" s="55"/>
      <c r="C66" s="55"/>
      <c r="D66" s="55"/>
      <c r="E66" s="55"/>
      <c r="F66" s="55"/>
      <c r="G66" s="55"/>
      <c r="H66" s="61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ht="15">
      <c r="A67" s="55"/>
      <c r="B67" s="55"/>
      <c r="C67" s="55"/>
      <c r="D67" s="55"/>
      <c r="E67" s="55"/>
      <c r="F67" s="55"/>
      <c r="G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1:24" ht="18.75">
      <c r="A68" s="55"/>
      <c r="B68" s="55"/>
      <c r="C68" s="55"/>
      <c r="D68" s="55"/>
      <c r="E68" s="55"/>
      <c r="F68" s="55"/>
      <c r="G68" s="55"/>
      <c r="H68" s="61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ht="18.75">
      <c r="A69" s="55"/>
      <c r="B69" s="55"/>
      <c r="C69" s="55"/>
      <c r="D69" s="55"/>
      <c r="E69" s="55"/>
      <c r="F69" s="55"/>
      <c r="G69" s="55"/>
      <c r="H69" s="61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1:24" ht="18.75">
      <c r="A70" s="55"/>
      <c r="B70" s="55"/>
      <c r="C70" s="55"/>
      <c r="D70" s="55"/>
      <c r="E70" s="55"/>
      <c r="F70" s="55"/>
      <c r="G70" s="55"/>
      <c r="H70" s="61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4" ht="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24" ht="1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1:24" ht="1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1:24" ht="1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  <row r="75" spans="1:24" ht="1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</row>
    <row r="76" spans="1:24" ht="1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</row>
    <row r="77" spans="1:24" ht="1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1:24" ht="1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1:24" ht="1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</row>
    <row r="80" spans="1:24" ht="1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</row>
    <row r="81" spans="1:24" ht="1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</row>
    <row r="82" spans="1:24" ht="1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</row>
    <row r="83" spans="1:24" ht="1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</row>
    <row r="84" spans="1:24" ht="1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</row>
    <row r="85" spans="1:24" ht="1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</row>
    <row r="86" spans="1:24" ht="1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</row>
    <row r="87" spans="1:24" ht="1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</row>
    <row r="88" spans="1:24" ht="1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1:24" ht="1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</row>
    <row r="90" spans="1:24" ht="1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</row>
    <row r="91" spans="1:24" ht="1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1:24" ht="1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</row>
    <row r="93" spans="1:24" ht="1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1:24" ht="1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</row>
    <row r="95" spans="1:24" ht="1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</row>
    <row r="96" spans="1:24" ht="1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</row>
    <row r="97" spans="1:24" ht="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1:24" ht="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1:24" ht="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1:24" ht="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1:24" ht="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</row>
    <row r="102" spans="1:24" ht="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1:24" ht="1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1:24" ht="1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</row>
    <row r="105" spans="1:24" ht="1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</row>
    <row r="106" spans="1:24" ht="1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1:24" ht="1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1:24" ht="1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1:24" ht="1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1:24" ht="1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</row>
    <row r="111" spans="1:24" ht="1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</row>
    <row r="112" spans="1:24" ht="1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</row>
    <row r="113" spans="1:24" ht="1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1:24" ht="1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</row>
    <row r="115" spans="1:24" ht="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</row>
    <row r="116" spans="1:24" ht="1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</row>
    <row r="117" spans="1:24" ht="1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</row>
    <row r="118" spans="1:24" ht="1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</row>
    <row r="119" spans="1:24" ht="1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</row>
  </sheetData>
  <sheetProtection/>
  <mergeCells count="33">
    <mergeCell ref="D21:G21"/>
    <mergeCell ref="D22:G22"/>
    <mergeCell ref="D23:G23"/>
    <mergeCell ref="B19:C19"/>
    <mergeCell ref="B20:C20"/>
    <mergeCell ref="B21:C21"/>
    <mergeCell ref="B22:C22"/>
    <mergeCell ref="B23:C23"/>
    <mergeCell ref="D16:G16"/>
    <mergeCell ref="D17:G17"/>
    <mergeCell ref="D18:G18"/>
    <mergeCell ref="D19:G19"/>
    <mergeCell ref="B12:C12"/>
    <mergeCell ref="B16:C16"/>
    <mergeCell ref="B17:C17"/>
    <mergeCell ref="B18:C18"/>
    <mergeCell ref="D3:G4"/>
    <mergeCell ref="D5:G6"/>
    <mergeCell ref="H5:K6"/>
    <mergeCell ref="L5:L6"/>
    <mergeCell ref="D7:G8"/>
    <mergeCell ref="H7:K8"/>
    <mergeCell ref="L7:L8"/>
    <mergeCell ref="C25:E25"/>
    <mergeCell ref="B50:C50"/>
    <mergeCell ref="D20:G20"/>
    <mergeCell ref="B10:C10"/>
    <mergeCell ref="B11:C11"/>
    <mergeCell ref="D10:G10"/>
    <mergeCell ref="D11:G11"/>
    <mergeCell ref="B13:G13"/>
    <mergeCell ref="B15:C15"/>
    <mergeCell ref="D15:G15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78" r:id="rId2"/>
  <headerFooter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/>
  <dimension ref="B2:G59"/>
  <sheetViews>
    <sheetView view="pageBreakPreview" zoomScale="98" zoomScaleSheetLayoutView="98" zoomScalePageLayoutView="0" workbookViewId="0" topLeftCell="A1">
      <selection activeCell="F10" sqref="F10:G10"/>
    </sheetView>
  </sheetViews>
  <sheetFormatPr defaultColWidth="9.140625" defaultRowHeight="15"/>
  <cols>
    <col min="1" max="1" width="9.140625" style="284" customWidth="1"/>
    <col min="2" max="2" width="12.57421875" style="284" customWidth="1"/>
    <col min="3" max="3" width="9.140625" style="284" customWidth="1"/>
    <col min="4" max="4" width="18.421875" style="284" customWidth="1"/>
    <col min="5" max="5" width="24.7109375" style="284" customWidth="1"/>
    <col min="6" max="6" width="23.140625" style="284" customWidth="1"/>
    <col min="7" max="7" width="21.421875" style="284" customWidth="1"/>
    <col min="8" max="16384" width="9.140625" style="284" customWidth="1"/>
  </cols>
  <sheetData>
    <row r="2" spans="2:7" ht="15" customHeight="1">
      <c r="B2" s="812"/>
      <c r="C2" s="946"/>
      <c r="D2" s="946"/>
      <c r="E2" s="903" t="s">
        <v>159</v>
      </c>
      <c r="F2" s="904"/>
      <c r="G2" s="905"/>
    </row>
    <row r="3" spans="2:7" ht="15" customHeight="1">
      <c r="B3" s="814"/>
      <c r="C3" s="947"/>
      <c r="D3" s="947"/>
      <c r="E3" s="926"/>
      <c r="F3" s="927"/>
      <c r="G3" s="928"/>
    </row>
    <row r="4" spans="2:7" ht="15" customHeight="1">
      <c r="B4" s="814"/>
      <c r="C4" s="947"/>
      <c r="D4" s="947"/>
      <c r="E4" s="909" t="s">
        <v>41</v>
      </c>
      <c r="F4" s="910"/>
      <c r="G4" s="911"/>
    </row>
    <row r="5" spans="2:7" ht="15" customHeight="1">
      <c r="B5" s="814"/>
      <c r="C5" s="947"/>
      <c r="D5" s="947"/>
      <c r="E5" s="929"/>
      <c r="F5" s="930"/>
      <c r="G5" s="931"/>
    </row>
    <row r="6" spans="2:7" ht="15" customHeight="1">
      <c r="B6" s="814"/>
      <c r="C6" s="947"/>
      <c r="D6" s="947"/>
      <c r="E6" s="909" t="s">
        <v>29</v>
      </c>
      <c r="F6" s="910"/>
      <c r="G6" s="911"/>
    </row>
    <row r="7" spans="2:7" ht="15" customHeight="1">
      <c r="B7" s="816"/>
      <c r="C7" s="948"/>
      <c r="D7" s="948"/>
      <c r="E7" s="929"/>
      <c r="F7" s="930"/>
      <c r="G7" s="931"/>
    </row>
    <row r="8" spans="2:7" ht="4.5" customHeight="1">
      <c r="B8" s="271"/>
      <c r="C8" s="6"/>
      <c r="D8" s="6"/>
      <c r="E8" s="6"/>
      <c r="F8" s="290"/>
      <c r="G8" s="291"/>
    </row>
    <row r="9" spans="2:7" ht="26.25" customHeight="1">
      <c r="B9" s="924" t="s">
        <v>760</v>
      </c>
      <c r="C9" s="925"/>
      <c r="D9" s="925"/>
      <c r="E9" s="925"/>
      <c r="F9" s="950" t="s">
        <v>366</v>
      </c>
      <c r="G9" s="951"/>
    </row>
    <row r="10" spans="2:7" ht="28.5" customHeight="1">
      <c r="B10" s="925" t="s">
        <v>126</v>
      </c>
      <c r="C10" s="925"/>
      <c r="D10" s="925"/>
      <c r="E10" s="925"/>
      <c r="F10" s="952" t="s">
        <v>750</v>
      </c>
      <c r="G10" s="953"/>
    </row>
    <row r="11" spans="2:7" ht="4.5" customHeight="1" thickBot="1">
      <c r="B11" s="291"/>
      <c r="C11" s="291"/>
      <c r="D11" s="291"/>
      <c r="E11" s="291"/>
      <c r="F11" s="291"/>
      <c r="G11" s="291"/>
    </row>
    <row r="12" spans="2:7" ht="24.75" customHeight="1" thickBot="1">
      <c r="B12" s="933" t="s">
        <v>160</v>
      </c>
      <c r="C12" s="934"/>
      <c r="D12" s="934"/>
      <c r="E12" s="934"/>
      <c r="F12" s="934"/>
      <c r="G12" s="935"/>
    </row>
    <row r="13" spans="2:7" ht="4.5" customHeight="1" thickBot="1">
      <c r="B13" s="286"/>
      <c r="C13" s="286"/>
      <c r="D13" s="286"/>
      <c r="E13" s="286"/>
      <c r="F13" s="286"/>
      <c r="G13" s="286"/>
    </row>
    <row r="14" spans="2:7" ht="15.75" thickBot="1">
      <c r="B14" s="287" t="s">
        <v>161</v>
      </c>
      <c r="C14" s="936" t="s">
        <v>73</v>
      </c>
      <c r="D14" s="937"/>
      <c r="E14" s="937"/>
      <c r="F14" s="288" t="s">
        <v>162</v>
      </c>
      <c r="G14" s="289" t="s">
        <v>163</v>
      </c>
    </row>
    <row r="15" spans="2:7" ht="4.5" customHeight="1">
      <c r="B15" s="286"/>
      <c r="C15" s="286"/>
      <c r="D15" s="286"/>
      <c r="E15" s="286"/>
      <c r="F15" s="286"/>
      <c r="G15" s="286"/>
    </row>
    <row r="16" spans="2:7" ht="15">
      <c r="B16" s="938" t="s">
        <v>164</v>
      </c>
      <c r="C16" s="939"/>
      <c r="D16" s="939"/>
      <c r="E16" s="939"/>
      <c r="F16" s="939"/>
      <c r="G16" s="940"/>
    </row>
    <row r="17" spans="2:7" ht="15">
      <c r="B17" s="297" t="s">
        <v>165</v>
      </c>
      <c r="C17" s="932" t="s">
        <v>166</v>
      </c>
      <c r="D17" s="932"/>
      <c r="E17" s="932"/>
      <c r="F17" s="285">
        <v>0</v>
      </c>
      <c r="G17" s="285">
        <v>0</v>
      </c>
    </row>
    <row r="18" spans="2:7" ht="15">
      <c r="B18" s="297" t="s">
        <v>167</v>
      </c>
      <c r="C18" s="932" t="s">
        <v>168</v>
      </c>
      <c r="D18" s="932"/>
      <c r="E18" s="932"/>
      <c r="F18" s="285">
        <v>1.5</v>
      </c>
      <c r="G18" s="285">
        <v>1.5</v>
      </c>
    </row>
    <row r="19" spans="2:7" ht="15">
      <c r="B19" s="297" t="s">
        <v>169</v>
      </c>
      <c r="C19" s="932" t="s">
        <v>170</v>
      </c>
      <c r="D19" s="932"/>
      <c r="E19" s="932"/>
      <c r="F19" s="285">
        <v>1</v>
      </c>
      <c r="G19" s="285">
        <v>1</v>
      </c>
    </row>
    <row r="20" spans="2:7" ht="15">
      <c r="B20" s="297" t="s">
        <v>171</v>
      </c>
      <c r="C20" s="932" t="s">
        <v>172</v>
      </c>
      <c r="D20" s="932"/>
      <c r="E20" s="932"/>
      <c r="F20" s="285">
        <v>0.2</v>
      </c>
      <c r="G20" s="285">
        <v>0.2</v>
      </c>
    </row>
    <row r="21" spans="2:7" ht="15">
      <c r="B21" s="297" t="s">
        <v>173</v>
      </c>
      <c r="C21" s="932" t="s">
        <v>174</v>
      </c>
      <c r="D21" s="932"/>
      <c r="E21" s="932"/>
      <c r="F21" s="285">
        <v>0.6</v>
      </c>
      <c r="G21" s="285">
        <v>0.6</v>
      </c>
    </row>
    <row r="22" spans="2:7" ht="15">
      <c r="B22" s="297" t="s">
        <v>175</v>
      </c>
      <c r="C22" s="932" t="s">
        <v>176</v>
      </c>
      <c r="D22" s="932"/>
      <c r="E22" s="932"/>
      <c r="F22" s="285">
        <v>2.5</v>
      </c>
      <c r="G22" s="285">
        <v>2.5</v>
      </c>
    </row>
    <row r="23" spans="2:7" ht="15">
      <c r="B23" s="297" t="s">
        <v>177</v>
      </c>
      <c r="C23" s="932" t="s">
        <v>178</v>
      </c>
      <c r="D23" s="932"/>
      <c r="E23" s="932"/>
      <c r="F23" s="285">
        <v>3</v>
      </c>
      <c r="G23" s="285">
        <v>3</v>
      </c>
    </row>
    <row r="24" spans="2:7" ht="15">
      <c r="B24" s="297" t="s">
        <v>179</v>
      </c>
      <c r="C24" s="932" t="s">
        <v>180</v>
      </c>
      <c r="D24" s="932"/>
      <c r="E24" s="932"/>
      <c r="F24" s="285">
        <v>8</v>
      </c>
      <c r="G24" s="285">
        <v>8</v>
      </c>
    </row>
    <row r="25" spans="2:7" ht="15">
      <c r="B25" s="297" t="s">
        <v>181</v>
      </c>
      <c r="C25" s="932" t="s">
        <v>182</v>
      </c>
      <c r="D25" s="932"/>
      <c r="E25" s="932"/>
      <c r="F25" s="285">
        <v>0</v>
      </c>
      <c r="G25" s="285">
        <v>0</v>
      </c>
    </row>
    <row r="26" spans="2:7" ht="15">
      <c r="B26" s="306" t="s">
        <v>183</v>
      </c>
      <c r="C26" s="941" t="s">
        <v>184</v>
      </c>
      <c r="D26" s="941"/>
      <c r="E26" s="941"/>
      <c r="F26" s="305">
        <f>SUM(F17:F25)</f>
        <v>16.8</v>
      </c>
      <c r="G26" s="304">
        <f>SUM(G17:G25)</f>
        <v>16.8</v>
      </c>
    </row>
    <row r="27" spans="2:7" ht="4.5" customHeight="1">
      <c r="B27" s="286"/>
      <c r="C27" s="286"/>
      <c r="D27" s="286"/>
      <c r="E27" s="286"/>
      <c r="F27" s="286"/>
      <c r="G27" s="286"/>
    </row>
    <row r="28" spans="2:7" ht="15">
      <c r="B28" s="942" t="s">
        <v>185</v>
      </c>
      <c r="C28" s="942"/>
      <c r="D28" s="942"/>
      <c r="E28" s="942"/>
      <c r="F28" s="942"/>
      <c r="G28" s="942"/>
    </row>
    <row r="29" spans="2:7" ht="15">
      <c r="B29" s="297" t="s">
        <v>186</v>
      </c>
      <c r="C29" s="932" t="s">
        <v>187</v>
      </c>
      <c r="D29" s="932"/>
      <c r="E29" s="932"/>
      <c r="F29" s="285">
        <v>17.84</v>
      </c>
      <c r="G29" s="285">
        <v>0</v>
      </c>
    </row>
    <row r="30" spans="2:7" ht="15">
      <c r="B30" s="297" t="s">
        <v>188</v>
      </c>
      <c r="C30" s="932" t="s">
        <v>189</v>
      </c>
      <c r="D30" s="932"/>
      <c r="E30" s="932"/>
      <c r="F30" s="285">
        <v>3.95</v>
      </c>
      <c r="G30" s="285">
        <v>0</v>
      </c>
    </row>
    <row r="31" spans="2:7" ht="15">
      <c r="B31" s="297" t="s">
        <v>190</v>
      </c>
      <c r="C31" s="932" t="s">
        <v>191</v>
      </c>
      <c r="D31" s="932"/>
      <c r="E31" s="932"/>
      <c r="F31" s="285">
        <v>0.91</v>
      </c>
      <c r="G31" s="285">
        <v>0.69</v>
      </c>
    </row>
    <row r="32" spans="2:7" ht="15">
      <c r="B32" s="297" t="s">
        <v>192</v>
      </c>
      <c r="C32" s="932" t="s">
        <v>193</v>
      </c>
      <c r="D32" s="932"/>
      <c r="E32" s="932"/>
      <c r="F32" s="285">
        <v>10.92</v>
      </c>
      <c r="G32" s="285">
        <v>8.33</v>
      </c>
    </row>
    <row r="33" spans="2:7" ht="15">
      <c r="B33" s="297" t="s">
        <v>194</v>
      </c>
      <c r="C33" s="932" t="s">
        <v>195</v>
      </c>
      <c r="D33" s="932"/>
      <c r="E33" s="932"/>
      <c r="F33" s="285">
        <v>0.08</v>
      </c>
      <c r="G33" s="285">
        <v>0.06</v>
      </c>
    </row>
    <row r="34" spans="2:7" ht="15">
      <c r="B34" s="297" t="s">
        <v>196</v>
      </c>
      <c r="C34" s="932" t="s">
        <v>197</v>
      </c>
      <c r="D34" s="932"/>
      <c r="E34" s="932"/>
      <c r="F34" s="285">
        <v>0.73</v>
      </c>
      <c r="G34" s="285">
        <v>0.56</v>
      </c>
    </row>
    <row r="35" spans="2:7" ht="15">
      <c r="B35" s="297" t="s">
        <v>198</v>
      </c>
      <c r="C35" s="932" t="s">
        <v>199</v>
      </c>
      <c r="D35" s="932"/>
      <c r="E35" s="932"/>
      <c r="F35" s="285">
        <v>1.18</v>
      </c>
      <c r="G35" s="285">
        <v>0</v>
      </c>
    </row>
    <row r="36" spans="2:7" ht="15">
      <c r="B36" s="297" t="s">
        <v>200</v>
      </c>
      <c r="C36" s="932" t="s">
        <v>201</v>
      </c>
      <c r="D36" s="932"/>
      <c r="E36" s="932"/>
      <c r="F36" s="285">
        <v>0.12</v>
      </c>
      <c r="G36" s="285">
        <v>0.09</v>
      </c>
    </row>
    <row r="37" spans="2:7" ht="15">
      <c r="B37" s="297" t="s">
        <v>202</v>
      </c>
      <c r="C37" s="932" t="s">
        <v>203</v>
      </c>
      <c r="D37" s="932"/>
      <c r="E37" s="932"/>
      <c r="F37" s="285">
        <v>10.76</v>
      </c>
      <c r="G37" s="285">
        <v>8.21</v>
      </c>
    </row>
    <row r="38" spans="2:7" ht="15">
      <c r="B38" s="297" t="s">
        <v>204</v>
      </c>
      <c r="C38" s="932" t="s">
        <v>205</v>
      </c>
      <c r="D38" s="932"/>
      <c r="E38" s="932"/>
      <c r="F38" s="285">
        <v>0.03</v>
      </c>
      <c r="G38" s="285">
        <v>0.02</v>
      </c>
    </row>
    <row r="39" spans="2:7" ht="15">
      <c r="B39" s="303" t="s">
        <v>206</v>
      </c>
      <c r="C39" s="945" t="s">
        <v>207</v>
      </c>
      <c r="D39" s="945"/>
      <c r="E39" s="945"/>
      <c r="F39" s="302">
        <f>SUM(F29:F38)</f>
        <v>46.51999999999999</v>
      </c>
      <c r="G39" s="302">
        <f>SUM(G29:G38)</f>
        <v>17.96</v>
      </c>
    </row>
    <row r="40" spans="2:7" ht="4.5" customHeight="1">
      <c r="B40" s="286"/>
      <c r="C40" s="286"/>
      <c r="D40" s="286"/>
      <c r="E40" s="286"/>
      <c r="F40" s="286"/>
      <c r="G40" s="286"/>
    </row>
    <row r="41" spans="2:7" ht="15">
      <c r="B41" s="942" t="s">
        <v>208</v>
      </c>
      <c r="C41" s="942"/>
      <c r="D41" s="942"/>
      <c r="E41" s="942"/>
      <c r="F41" s="942"/>
      <c r="G41" s="942"/>
    </row>
    <row r="42" spans="2:7" ht="15">
      <c r="B42" s="297" t="s">
        <v>209</v>
      </c>
      <c r="C42" s="932" t="s">
        <v>210</v>
      </c>
      <c r="D42" s="932"/>
      <c r="E42" s="932"/>
      <c r="F42" s="285">
        <v>6.84</v>
      </c>
      <c r="G42" s="285">
        <v>5.22</v>
      </c>
    </row>
    <row r="43" spans="2:7" ht="15">
      <c r="B43" s="297" t="s">
        <v>211</v>
      </c>
      <c r="C43" s="932" t="s">
        <v>212</v>
      </c>
      <c r="D43" s="932"/>
      <c r="E43" s="932"/>
      <c r="F43" s="285">
        <v>0.16</v>
      </c>
      <c r="G43" s="285">
        <v>0.12</v>
      </c>
    </row>
    <row r="44" spans="2:7" ht="15">
      <c r="B44" s="297" t="s">
        <v>213</v>
      </c>
      <c r="C44" s="932" t="s">
        <v>214</v>
      </c>
      <c r="D44" s="932"/>
      <c r="E44" s="932"/>
      <c r="F44" s="285">
        <v>3.07</v>
      </c>
      <c r="G44" s="285">
        <v>2.34</v>
      </c>
    </row>
    <row r="45" spans="2:7" ht="15">
      <c r="B45" s="297" t="s">
        <v>215</v>
      </c>
      <c r="C45" s="932" t="s">
        <v>216</v>
      </c>
      <c r="D45" s="932"/>
      <c r="E45" s="932"/>
      <c r="F45" s="285">
        <v>5.05</v>
      </c>
      <c r="G45" s="285">
        <v>3.86</v>
      </c>
    </row>
    <row r="46" spans="2:7" ht="15">
      <c r="B46" s="297" t="s">
        <v>217</v>
      </c>
      <c r="C46" s="932" t="s">
        <v>218</v>
      </c>
      <c r="D46" s="932"/>
      <c r="E46" s="932"/>
      <c r="F46" s="285">
        <v>0.58</v>
      </c>
      <c r="G46" s="285">
        <v>0.44</v>
      </c>
    </row>
    <row r="47" spans="2:7" ht="27.75" customHeight="1">
      <c r="B47" s="303" t="s">
        <v>219</v>
      </c>
      <c r="C47" s="943" t="s">
        <v>220</v>
      </c>
      <c r="D47" s="943"/>
      <c r="E47" s="943"/>
      <c r="F47" s="302">
        <f>SUM(F42:F46)</f>
        <v>15.700000000000001</v>
      </c>
      <c r="G47" s="302">
        <f>SUM(G42:G46)</f>
        <v>11.979999999999999</v>
      </c>
    </row>
    <row r="48" spans="2:7" ht="4.5" customHeight="1">
      <c r="B48" s="286"/>
      <c r="C48" s="286"/>
      <c r="D48" s="286"/>
      <c r="E48" s="286"/>
      <c r="F48" s="286"/>
      <c r="G48" s="286"/>
    </row>
    <row r="49" spans="2:7" ht="15">
      <c r="B49" s="944" t="s">
        <v>221</v>
      </c>
      <c r="C49" s="944"/>
      <c r="D49" s="944"/>
      <c r="E49" s="944"/>
      <c r="F49" s="944"/>
      <c r="G49" s="944"/>
    </row>
    <row r="50" spans="2:7" ht="15">
      <c r="B50" s="297" t="s">
        <v>222</v>
      </c>
      <c r="C50" s="932" t="s">
        <v>223</v>
      </c>
      <c r="D50" s="932"/>
      <c r="E50" s="932"/>
      <c r="F50" s="285">
        <v>7.82</v>
      </c>
      <c r="G50" s="285">
        <v>3.02</v>
      </c>
    </row>
    <row r="51" spans="2:7" ht="26.25" customHeight="1">
      <c r="B51" s="297" t="s">
        <v>224</v>
      </c>
      <c r="C51" s="954" t="s">
        <v>225</v>
      </c>
      <c r="D51" s="954"/>
      <c r="E51" s="954"/>
      <c r="F51" s="285">
        <v>0.57</v>
      </c>
      <c r="G51" s="285">
        <v>0.44</v>
      </c>
    </row>
    <row r="52" spans="2:7" ht="15">
      <c r="B52" s="294" t="s">
        <v>226</v>
      </c>
      <c r="C52" s="955" t="s">
        <v>227</v>
      </c>
      <c r="D52" s="955"/>
      <c r="E52" s="955"/>
      <c r="F52" s="295">
        <f>SUM(F50:F51)</f>
        <v>8.39</v>
      </c>
      <c r="G52" s="295">
        <f>SUM(G50:G51)</f>
        <v>3.46</v>
      </c>
    </row>
    <row r="53" spans="2:7" ht="15.75" thickBot="1">
      <c r="B53" s="956"/>
      <c r="C53" s="956"/>
      <c r="D53" s="956"/>
      <c r="E53" s="956"/>
      <c r="F53" s="956"/>
      <c r="G53" s="956"/>
    </row>
    <row r="54" spans="2:7" ht="15.75" thickBot="1">
      <c r="B54" s="957" t="s">
        <v>228</v>
      </c>
      <c r="C54" s="958"/>
      <c r="D54" s="958"/>
      <c r="E54" s="958"/>
      <c r="F54" s="292">
        <f>SUM(F52+F47+F39+F26)</f>
        <v>87.40999999999998</v>
      </c>
      <c r="G54" s="293">
        <f>SUM(G52+G47+G39+G26)</f>
        <v>50.2</v>
      </c>
    </row>
    <row r="55" spans="2:7" ht="15">
      <c r="B55" s="301"/>
      <c r="C55" s="301"/>
      <c r="D55" s="301"/>
      <c r="E55" s="301"/>
      <c r="F55" s="300"/>
      <c r="G55" s="300"/>
    </row>
    <row r="56" spans="2:7" ht="15">
      <c r="B56" s="301"/>
      <c r="C56" s="301"/>
      <c r="D56" s="301"/>
      <c r="E56" s="301"/>
      <c r="F56" s="300"/>
      <c r="G56" s="300"/>
    </row>
    <row r="57" spans="2:7" ht="15">
      <c r="B57" s="301"/>
      <c r="C57" s="949" t="str">
        <f>'Pl Orçamentária'!C247</f>
        <v>Teresina (PI),  16 de Fevereiro de  2016</v>
      </c>
      <c r="D57" s="949"/>
      <c r="E57" s="949"/>
      <c r="F57" s="300"/>
      <c r="G57" s="300"/>
    </row>
    <row r="58" spans="2:7" ht="15">
      <c r="B58" s="301"/>
      <c r="C58" s="301"/>
      <c r="D58" s="301"/>
      <c r="E58" s="301"/>
      <c r="F58" s="300"/>
      <c r="G58" s="300"/>
    </row>
    <row r="59" spans="2:7" ht="15">
      <c r="B59" s="301"/>
      <c r="C59" s="301"/>
      <c r="D59" s="301"/>
      <c r="E59" s="301"/>
      <c r="F59" s="300"/>
      <c r="G59" s="300"/>
    </row>
  </sheetData>
  <sheetProtection/>
  <mergeCells count="47">
    <mergeCell ref="B2:D7"/>
    <mergeCell ref="C57:E57"/>
    <mergeCell ref="F9:G9"/>
    <mergeCell ref="F10:G10"/>
    <mergeCell ref="C50:E50"/>
    <mergeCell ref="C51:E51"/>
    <mergeCell ref="C52:E52"/>
    <mergeCell ref="B53:G53"/>
    <mergeCell ref="B54:E54"/>
    <mergeCell ref="C44:E44"/>
    <mergeCell ref="C45:E45"/>
    <mergeCell ref="C46:E46"/>
    <mergeCell ref="C47:E47"/>
    <mergeCell ref="B49:G49"/>
    <mergeCell ref="C38:E38"/>
    <mergeCell ref="C39:E39"/>
    <mergeCell ref="B41:G41"/>
    <mergeCell ref="C42:E42"/>
    <mergeCell ref="C43:E43"/>
    <mergeCell ref="C32:E32"/>
    <mergeCell ref="C33:E33"/>
    <mergeCell ref="C34:E34"/>
    <mergeCell ref="C35:E35"/>
    <mergeCell ref="C36:E36"/>
    <mergeCell ref="C37:E37"/>
    <mergeCell ref="C31:E31"/>
    <mergeCell ref="C20:E20"/>
    <mergeCell ref="C21:E21"/>
    <mergeCell ref="C22:E22"/>
    <mergeCell ref="C23:E23"/>
    <mergeCell ref="C24:E24"/>
    <mergeCell ref="C18:E18"/>
    <mergeCell ref="C19:E19"/>
    <mergeCell ref="C26:E26"/>
    <mergeCell ref="B28:G28"/>
    <mergeCell ref="C29:E29"/>
    <mergeCell ref="C30:E30"/>
    <mergeCell ref="B9:E9"/>
    <mergeCell ref="B10:E10"/>
    <mergeCell ref="E2:G3"/>
    <mergeCell ref="E4:G5"/>
    <mergeCell ref="E6:G7"/>
    <mergeCell ref="C25:E25"/>
    <mergeCell ref="B12:G12"/>
    <mergeCell ref="C14:E14"/>
    <mergeCell ref="B16:G16"/>
    <mergeCell ref="C17:E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7" r:id="rId2"/>
  <headerFooter>
    <oddFooter>&amp;CPágina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B2:G31"/>
  <sheetViews>
    <sheetView zoomScale="98" zoomScaleNormal="98" zoomScaleSheetLayoutView="98" zoomScalePageLayoutView="0" workbookViewId="0" topLeftCell="A1">
      <selection activeCell="K13" sqref="K13"/>
    </sheetView>
  </sheetViews>
  <sheetFormatPr defaultColWidth="9.140625" defaultRowHeight="15"/>
  <cols>
    <col min="1" max="1" width="9.140625" style="284" customWidth="1"/>
    <col min="2" max="2" width="12.57421875" style="284" customWidth="1"/>
    <col min="3" max="3" width="9.140625" style="284" customWidth="1"/>
    <col min="4" max="4" width="18.421875" style="284" customWidth="1"/>
    <col min="5" max="5" width="24.7109375" style="284" customWidth="1"/>
    <col min="6" max="6" width="23.140625" style="284" customWidth="1"/>
    <col min="7" max="7" width="21.421875" style="284" customWidth="1"/>
    <col min="8" max="16384" width="9.140625" style="284" customWidth="1"/>
  </cols>
  <sheetData>
    <row r="2" spans="2:7" ht="15" customHeight="1">
      <c r="B2" s="812"/>
      <c r="C2" s="946"/>
      <c r="D2" s="946"/>
      <c r="E2" s="903" t="s">
        <v>159</v>
      </c>
      <c r="F2" s="904"/>
      <c r="G2" s="905"/>
    </row>
    <row r="3" spans="2:7" ht="15" customHeight="1">
      <c r="B3" s="814"/>
      <c r="C3" s="947"/>
      <c r="D3" s="947"/>
      <c r="E3" s="926"/>
      <c r="F3" s="927"/>
      <c r="G3" s="928"/>
    </row>
    <row r="4" spans="2:7" ht="15" customHeight="1">
      <c r="B4" s="814"/>
      <c r="C4" s="947"/>
      <c r="D4" s="947"/>
      <c r="E4" s="909" t="s">
        <v>41</v>
      </c>
      <c r="F4" s="910"/>
      <c r="G4" s="911"/>
    </row>
    <row r="5" spans="2:7" ht="15" customHeight="1">
      <c r="B5" s="814"/>
      <c r="C5" s="947"/>
      <c r="D5" s="947"/>
      <c r="E5" s="929"/>
      <c r="F5" s="930"/>
      <c r="G5" s="931"/>
    </row>
    <row r="6" spans="2:7" ht="15" customHeight="1">
      <c r="B6" s="814"/>
      <c r="C6" s="947"/>
      <c r="D6" s="947"/>
      <c r="E6" s="909" t="s">
        <v>29</v>
      </c>
      <c r="F6" s="910"/>
      <c r="G6" s="911"/>
    </row>
    <row r="7" spans="2:7" ht="15" customHeight="1">
      <c r="B7" s="816"/>
      <c r="C7" s="948"/>
      <c r="D7" s="948"/>
      <c r="E7" s="929"/>
      <c r="F7" s="930"/>
      <c r="G7" s="931"/>
    </row>
    <row r="8" spans="2:7" ht="4.5" customHeight="1">
      <c r="B8" s="271"/>
      <c r="C8" s="6"/>
      <c r="D8" s="6"/>
      <c r="E8" s="6"/>
      <c r="F8" s="290"/>
      <c r="G8" s="291"/>
    </row>
    <row r="9" spans="2:7" ht="26.25" customHeight="1">
      <c r="B9" s="925" t="s">
        <v>761</v>
      </c>
      <c r="C9" s="925"/>
      <c r="D9" s="925"/>
      <c r="E9" s="925"/>
      <c r="F9" s="950" t="s">
        <v>366</v>
      </c>
      <c r="G9" s="951"/>
    </row>
    <row r="10" spans="2:7" ht="28.5" customHeight="1">
      <c r="B10" s="925" t="s">
        <v>126</v>
      </c>
      <c r="C10" s="925"/>
      <c r="D10" s="925"/>
      <c r="E10" s="925"/>
      <c r="F10" s="952" t="s">
        <v>750</v>
      </c>
      <c r="G10" s="953"/>
    </row>
    <row r="11" spans="2:7" ht="4.5" customHeight="1" thickBot="1">
      <c r="B11" s="291"/>
      <c r="C11" s="291"/>
      <c r="D11" s="291"/>
      <c r="E11" s="291"/>
      <c r="F11" s="291"/>
      <c r="G11" s="291"/>
    </row>
    <row r="12" spans="2:7" ht="24.75" customHeight="1" thickBot="1">
      <c r="B12" s="933" t="s">
        <v>733</v>
      </c>
      <c r="C12" s="934"/>
      <c r="D12" s="934"/>
      <c r="E12" s="934"/>
      <c r="F12" s="934"/>
      <c r="G12" s="935"/>
    </row>
    <row r="13" spans="2:7" ht="4.5" customHeight="1" thickBot="1">
      <c r="B13" s="286"/>
      <c r="C13" s="286"/>
      <c r="D13" s="286"/>
      <c r="E13" s="286"/>
      <c r="F13" s="286"/>
      <c r="G13" s="286"/>
    </row>
    <row r="14" spans="2:7" ht="19.5" customHeight="1" thickBot="1">
      <c r="B14" s="646" t="s">
        <v>732</v>
      </c>
      <c r="C14" s="570"/>
      <c r="D14" s="570"/>
      <c r="E14" s="570"/>
      <c r="F14" s="292"/>
      <c r="G14" s="293"/>
    </row>
    <row r="15" spans="2:7" ht="4.5" customHeight="1">
      <c r="B15" s="301"/>
      <c r="C15" s="301"/>
      <c r="D15" s="301"/>
      <c r="E15" s="301"/>
      <c r="F15" s="300"/>
      <c r="G15" s="300"/>
    </row>
    <row r="16" spans="2:7" ht="15">
      <c r="B16" s="645" t="s">
        <v>731</v>
      </c>
      <c r="C16" s="644"/>
      <c r="D16" s="643"/>
      <c r="E16" s="643"/>
      <c r="F16" s="642"/>
      <c r="G16" s="641"/>
    </row>
    <row r="17" spans="2:7" ht="15">
      <c r="B17" s="639" t="s">
        <v>730</v>
      </c>
      <c r="C17" s="301"/>
      <c r="D17" s="301"/>
      <c r="E17" s="301"/>
      <c r="F17" s="300"/>
      <c r="G17" s="638"/>
    </row>
    <row r="18" spans="2:7" ht="15">
      <c r="B18" s="639" t="s">
        <v>729</v>
      </c>
      <c r="C18" s="301"/>
      <c r="D18" s="301"/>
      <c r="E18" s="301"/>
      <c r="F18" s="300"/>
      <c r="G18" s="638"/>
    </row>
    <row r="19" spans="2:7" ht="15">
      <c r="B19" s="639"/>
      <c r="C19" s="301"/>
      <c r="D19" s="301"/>
      <c r="E19" s="301"/>
      <c r="F19" s="300"/>
      <c r="G19" s="638"/>
    </row>
    <row r="20" spans="2:7" ht="15">
      <c r="B20" s="639"/>
      <c r="D20" s="301" t="s">
        <v>728</v>
      </c>
      <c r="E20" s="640">
        <v>117.9</v>
      </c>
      <c r="F20" s="300"/>
      <c r="G20" s="638"/>
    </row>
    <row r="21" spans="2:7" ht="15">
      <c r="B21" s="639"/>
      <c r="C21" s="301"/>
      <c r="D21" s="301"/>
      <c r="E21" s="301"/>
      <c r="F21" s="300"/>
      <c r="G21" s="638"/>
    </row>
    <row r="22" spans="2:7" ht="15">
      <c r="B22" s="637" t="s">
        <v>727</v>
      </c>
      <c r="C22" s="636"/>
      <c r="D22" s="636"/>
      <c r="E22" s="636"/>
      <c r="F22" s="635"/>
      <c r="G22" s="634"/>
    </row>
    <row r="23" spans="2:7" ht="15">
      <c r="B23" s="301"/>
      <c r="C23" s="301"/>
      <c r="D23" s="301"/>
      <c r="E23" s="301"/>
      <c r="F23" s="300"/>
      <c r="G23" s="300"/>
    </row>
    <row r="24" spans="2:7" ht="15">
      <c r="B24" s="301"/>
      <c r="C24" s="301"/>
      <c r="D24" s="301"/>
      <c r="E24" s="301"/>
      <c r="F24" s="300"/>
      <c r="G24" s="300"/>
    </row>
    <row r="25" spans="2:7" ht="15">
      <c r="B25" s="301"/>
      <c r="C25" s="301"/>
      <c r="D25" s="301"/>
      <c r="E25" s="301"/>
      <c r="F25" s="300"/>
      <c r="G25" s="300"/>
    </row>
    <row r="26" spans="2:7" ht="15">
      <c r="B26" s="301"/>
      <c r="C26" s="301"/>
      <c r="D26" s="301"/>
      <c r="E26" s="301"/>
      <c r="F26" s="300"/>
      <c r="G26" s="300"/>
    </row>
    <row r="27" spans="2:7" ht="15">
      <c r="B27" s="301"/>
      <c r="C27" s="301"/>
      <c r="D27" s="301"/>
      <c r="E27" s="301"/>
      <c r="F27" s="300"/>
      <c r="G27" s="300"/>
    </row>
    <row r="31" spans="4:6" ht="15">
      <c r="D31" s="959" t="s">
        <v>749</v>
      </c>
      <c r="E31" s="959"/>
      <c r="F31" s="959"/>
    </row>
  </sheetData>
  <sheetProtection/>
  <mergeCells count="10">
    <mergeCell ref="D31:F31"/>
    <mergeCell ref="B10:E10"/>
    <mergeCell ref="F10:G10"/>
    <mergeCell ref="B12:G12"/>
    <mergeCell ref="B2:D7"/>
    <mergeCell ref="E2:G3"/>
    <mergeCell ref="E4:G5"/>
    <mergeCell ref="E6:G7"/>
    <mergeCell ref="B9:E9"/>
    <mergeCell ref="F9:G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7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Nepe10</cp:lastModifiedBy>
  <cp:lastPrinted>2016-03-02T13:55:22Z</cp:lastPrinted>
  <dcterms:created xsi:type="dcterms:W3CDTF">2008-07-14T14:43:26Z</dcterms:created>
  <dcterms:modified xsi:type="dcterms:W3CDTF">2016-03-16T13:16:58Z</dcterms:modified>
  <cp:category/>
  <cp:version/>
  <cp:contentType/>
  <cp:contentStatus/>
</cp:coreProperties>
</file>