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a Orçamentária" sheetId="1" r:id="rId1"/>
    <sheet name="Cronograma" sheetId="2" r:id="rId2"/>
    <sheet name="BDI" sheetId="3" r:id="rId3"/>
    <sheet name="Mem Cáculo" sheetId="4" r:id="rId4"/>
  </sheets>
  <definedNames>
    <definedName name="_xlnm.Print_Area" localSheetId="1">'Cronograma'!$B$2:$L$26</definedName>
    <definedName name="_xlnm.Print_Area" localSheetId="3">'Mem Cáculo'!$A$1:$G$151</definedName>
    <definedName name="_xlnm.Print_Area" localSheetId="0">'Planila Orçamentária'!$A$1:$J$157</definedName>
    <definedName name="_xlnm.Print_Titles" localSheetId="0">'Planila Orçamentária'!$11:$12</definedName>
  </definedNames>
  <calcPr fullCalcOnLoad="1"/>
</workbook>
</file>

<file path=xl/sharedStrings.xml><?xml version="1.0" encoding="utf-8"?>
<sst xmlns="http://schemas.openxmlformats.org/spreadsheetml/2006/main" count="1073" uniqueCount="490">
  <si>
    <t>GABINETE DO SECRETÁRIO</t>
  </si>
  <si>
    <t>NÚCLEO DE INFRA-ESTRUTURA EM SAÚDE - NIS</t>
  </si>
  <si>
    <t>COORDENAÇÃO DE INFRA-ESTRUTURA EM SAÚDE</t>
  </si>
  <si>
    <t>Obra: CONCLUSÃO DA OBRA DE CONSTRUÇÃO DA UNIDADE BÁSICA AVANÇADA DE SAÚDE</t>
  </si>
  <si>
    <t>Município: BOQUEIRÃO - PIAUÍ</t>
  </si>
  <si>
    <t>Endereço: ZONA URBANA</t>
  </si>
  <si>
    <t>Data Base: Maio/2015</t>
  </si>
  <si>
    <t>PLANILHA ORÇAMENTÁRIA</t>
  </si>
  <si>
    <t>Item</t>
  </si>
  <si>
    <t>Discriminação</t>
  </si>
  <si>
    <t>Refer.</t>
  </si>
  <si>
    <t>Código</t>
  </si>
  <si>
    <t>Unid.</t>
  </si>
  <si>
    <t>Quant.</t>
  </si>
  <si>
    <t>Custo Unitário de Referência</t>
  </si>
  <si>
    <t>C. Unit. Com BDI</t>
  </si>
  <si>
    <t xml:space="preserve">Preço Total </t>
  </si>
  <si>
    <t>1.0</t>
  </si>
  <si>
    <t>SERVIÇOS PRELIMINARES</t>
  </si>
  <si>
    <t>1.1</t>
  </si>
  <si>
    <t xml:space="preserve">Placa indicativa da obra, 3,00X1,50m e assentamento </t>
  </si>
  <si>
    <t xml:space="preserve"> SINAPI</t>
  </si>
  <si>
    <t>74209/001</t>
  </si>
  <si>
    <t>m2</t>
  </si>
  <si>
    <t>1.2</t>
  </si>
  <si>
    <t>Demolição de reboco</t>
  </si>
  <si>
    <t>SEINFRA</t>
  </si>
  <si>
    <t>C 1070</t>
  </si>
  <si>
    <t>2.0</t>
  </si>
  <si>
    <t>MOVIMENTO DE TERRA</t>
  </si>
  <si>
    <t>2.1</t>
  </si>
  <si>
    <t xml:space="preserve">Aterro apiloado(manual) em camadas de 20 cm com material de empréstimo </t>
  </si>
  <si>
    <t>SINAPI</t>
  </si>
  <si>
    <t>73904/001</t>
  </si>
  <si>
    <t>m3</t>
  </si>
  <si>
    <t>2.2</t>
  </si>
  <si>
    <t>Carga manual de terra caminhão basculante</t>
  </si>
  <si>
    <t>3.0</t>
  </si>
  <si>
    <t>INFRA-ESTRUTURA</t>
  </si>
  <si>
    <t>3.1</t>
  </si>
  <si>
    <t xml:space="preserve">Concreto ciclópico para pilares do portão do muro </t>
  </si>
  <si>
    <t xml:space="preserve"> SEINFRA</t>
  </si>
  <si>
    <t>C 0830</t>
  </si>
  <si>
    <t>3.2</t>
  </si>
  <si>
    <t xml:space="preserve">Baldrame para calçada externa  </t>
  </si>
  <si>
    <t>C 4592</t>
  </si>
  <si>
    <t>3.3</t>
  </si>
  <si>
    <t xml:space="preserve">Lastro de impermeabilização 6cm em concreto traço 1:3:5: cimento areia grossa e seixo lavado calçada externa e acesso ao Placentário </t>
  </si>
  <si>
    <t>4.0</t>
  </si>
  <si>
    <t>ESTRUTURA</t>
  </si>
  <si>
    <t>4.1</t>
  </si>
  <si>
    <t xml:space="preserve">Concreto armado para pilares do portão do muro   </t>
  </si>
  <si>
    <t>5.0</t>
  </si>
  <si>
    <t>COBERTURA</t>
  </si>
  <si>
    <t>5.1</t>
  </si>
  <si>
    <t xml:space="preserve">Cobertura com telha chapa aço ondulada zincada 0,5mm, incluso pintura, cumeeira e acessórios  </t>
  </si>
  <si>
    <t>75381/001</t>
  </si>
  <si>
    <t>5.2</t>
  </si>
  <si>
    <t xml:space="preserve">Manta de isolamento térmico </t>
  </si>
  <si>
    <t>5.3</t>
  </si>
  <si>
    <t>Chapim em concreto pré-fabricado aparente</t>
  </si>
  <si>
    <t>m</t>
  </si>
  <si>
    <t>6.0</t>
  </si>
  <si>
    <t>INSTALAÇÕES ELÉTRICAS E COMBATE AO INCÊNDIO</t>
  </si>
  <si>
    <t>6.1</t>
  </si>
  <si>
    <t xml:space="preserve">Ponto elétrico para Tomada tripolar 2p + T (eletroduto, fios, caixas e tomada) </t>
  </si>
  <si>
    <t>ORSE</t>
  </si>
  <si>
    <t>unid.</t>
  </si>
  <si>
    <t>6.2</t>
  </si>
  <si>
    <t>Ponto elétrico para ar condicionado</t>
  </si>
  <si>
    <t>6.3</t>
  </si>
  <si>
    <t xml:space="preserve">Ponto elétrico para tomada termomagnética até 50A (caixa 4x2", eletroduto, fios e tomada)  </t>
  </si>
  <si>
    <t>74130/004</t>
  </si>
  <si>
    <t>6.4</t>
  </si>
  <si>
    <t>Ponto de lógica, material e execução</t>
  </si>
  <si>
    <t>C1949</t>
  </si>
  <si>
    <t>6.5</t>
  </si>
  <si>
    <t xml:space="preserve">Ponto elétrico para interruptor de 1 seção (eletroduto, fios, caixa e interruptor) </t>
  </si>
  <si>
    <t xml:space="preserve">ORSE </t>
  </si>
  <si>
    <t>6.6</t>
  </si>
  <si>
    <t xml:space="preserve">Ponto elétrico para interruptor de 2 seções (eletroduto, fios, caixa e interruptor) </t>
  </si>
  <si>
    <t>6.7</t>
  </si>
  <si>
    <t xml:space="preserve">Luminária fluorescente 4x40W  </t>
  </si>
  <si>
    <t>73953/008</t>
  </si>
  <si>
    <t>6.8</t>
  </si>
  <si>
    <t xml:space="preserve">Luminária fluorescente 2x40W  </t>
  </si>
  <si>
    <t>73953/006</t>
  </si>
  <si>
    <t>6.9</t>
  </si>
  <si>
    <t xml:space="preserve">Luminária fluorescente 1x40W  </t>
  </si>
  <si>
    <t>73953/005</t>
  </si>
  <si>
    <t>6.10</t>
  </si>
  <si>
    <t xml:space="preserve">Luminária fluorescente2x20W </t>
  </si>
  <si>
    <t xml:space="preserve">SINAPI </t>
  </si>
  <si>
    <t>73953/002</t>
  </si>
  <si>
    <t>6.11</t>
  </si>
  <si>
    <t>Poste para luminária tipo pétala (02 lum, inst. Completa)</t>
  </si>
  <si>
    <t xml:space="preserve"> C 3626</t>
  </si>
  <si>
    <t>6.12</t>
  </si>
  <si>
    <t xml:space="preserve">Quadro de medição trifásico  </t>
  </si>
  <si>
    <t>C2092</t>
  </si>
  <si>
    <t>6.13</t>
  </si>
  <si>
    <t xml:space="preserve">Quadro de distribuição para 18 circuitos, com barramento  </t>
  </si>
  <si>
    <t>74131/004</t>
  </si>
  <si>
    <t>6.14</t>
  </si>
  <si>
    <t xml:space="preserve">Aterramento com haste de cobre seção 5/8''x2,40m, incluindo conectores </t>
  </si>
  <si>
    <t>6.15</t>
  </si>
  <si>
    <t>Ponto telefônico, material e execução</t>
  </si>
  <si>
    <t>C1951</t>
  </si>
  <si>
    <t>6.16</t>
  </si>
  <si>
    <t xml:space="preserve">Disjuntor ¨no fuse¨de de 60 a 100A  </t>
  </si>
  <si>
    <t>74130/005</t>
  </si>
  <si>
    <t>6.17</t>
  </si>
  <si>
    <t xml:space="preserve">Disjuntor ¨quick-lag¨ de 10 a 30A  </t>
  </si>
  <si>
    <t>74130/001</t>
  </si>
  <si>
    <t>6.18</t>
  </si>
  <si>
    <t>Espelho para tomadas, interruptores</t>
  </si>
  <si>
    <t>6.19</t>
  </si>
  <si>
    <t>Luminárias tipo globo 100W</t>
  </si>
  <si>
    <t>74041/002</t>
  </si>
  <si>
    <t>6.20</t>
  </si>
  <si>
    <t>Ventilador de teto</t>
  </si>
  <si>
    <t>C 2664</t>
  </si>
  <si>
    <t>7.0</t>
  </si>
  <si>
    <t>INSTALAÇÕES  HIDRO-SANITÁRIAS</t>
  </si>
  <si>
    <t>7.1</t>
  </si>
  <si>
    <t>Sifão do tipo garrafa em metal cromado 1 x 1.1/2''</t>
  </si>
  <si>
    <t>7.2</t>
  </si>
  <si>
    <t>Ralo sifonado PVC, 100 x 40 mm, junta soldável</t>
  </si>
  <si>
    <t>7.3</t>
  </si>
  <si>
    <t xml:space="preserve">Saboneteira de louça branca (15X15)  </t>
  </si>
  <si>
    <t>C 2255</t>
  </si>
  <si>
    <t>7.4</t>
  </si>
  <si>
    <t xml:space="preserve">Chuveiro metal cromado  </t>
  </si>
  <si>
    <t>C 3513</t>
  </si>
  <si>
    <t>7.5</t>
  </si>
  <si>
    <t xml:space="preserve">Porta-sabão líquido  </t>
  </si>
  <si>
    <t>C2045</t>
  </si>
  <si>
    <t>7.6</t>
  </si>
  <si>
    <t xml:space="preserve">Porta-papel higiênico (15X15)  </t>
  </si>
  <si>
    <t>C 7611</t>
  </si>
  <si>
    <t>7.7</t>
  </si>
  <si>
    <t xml:space="preserve">Porta-papel toalha acrílico  </t>
  </si>
  <si>
    <t>C7610</t>
  </si>
  <si>
    <t>7.8</t>
  </si>
  <si>
    <t>Copo sifonado PVC</t>
  </si>
  <si>
    <t>7.9</t>
  </si>
  <si>
    <t>Tampa do Vaso Sanitário</t>
  </si>
  <si>
    <t>7.10</t>
  </si>
  <si>
    <t>Caixa d'água em fibra de vidrp cap. 5.000 L, montada em estrutura de concreto pré-fabricada composta de sapata, pilar circular D=0,40m com pé direito de 6,00m, laje de apoio (fornecimento e montagem)</t>
  </si>
  <si>
    <t>C 3742</t>
  </si>
  <si>
    <t>7.11</t>
  </si>
  <si>
    <t>Torneira longa cromada</t>
  </si>
  <si>
    <t>8.0</t>
  </si>
  <si>
    <t>PAVIMENTAÇÃO</t>
  </si>
  <si>
    <t>8.1</t>
  </si>
  <si>
    <t xml:space="preserve">Regularização de base para piso cimentado acesso placentário  </t>
  </si>
  <si>
    <t>C2181</t>
  </si>
  <si>
    <t>8.2</t>
  </si>
  <si>
    <t>Piso pré-moldado articulado e intertravado de 16 faces, e = 8cm</t>
  </si>
  <si>
    <t>C3782</t>
  </si>
  <si>
    <t>8.3</t>
  </si>
  <si>
    <t>Piso rústico de concreto ripado (1,50 x 1,50)m, e=7cm</t>
  </si>
  <si>
    <t>C1927</t>
  </si>
  <si>
    <t>8.4</t>
  </si>
  <si>
    <t>Piso em ceramica esmaltada extra, pei maior ou igual a 4, formato maior que 2025 cm2</t>
  </si>
  <si>
    <t>C 1292</t>
  </si>
  <si>
    <t>8.6</t>
  </si>
  <si>
    <t>Meio-fio de concreto moldado no local, usinado 15 Mpa, com 0,45m de altura e 0,15m de base</t>
  </si>
  <si>
    <t>73789/001</t>
  </si>
  <si>
    <t>8.7</t>
  </si>
  <si>
    <t>Cimentado para entrada de veículo na lateral</t>
  </si>
  <si>
    <t xml:space="preserve"> m2</t>
  </si>
  <si>
    <t>9.0</t>
  </si>
  <si>
    <t>ESQUADRIAS</t>
  </si>
  <si>
    <t>9.1</t>
  </si>
  <si>
    <t>Janela de alumínio, tipo correr/guichê(0,8 x 1,00)m, convencional, inclusive assentamento</t>
  </si>
  <si>
    <t>9.2</t>
  </si>
  <si>
    <t>Vidro liso comum transparente, e = 3mm ((guichê(0,8 x 1)m))</t>
  </si>
  <si>
    <t>9.3</t>
  </si>
  <si>
    <t xml:space="preserve">Tela galvanizada milimétrica com requadro em metalon  </t>
  </si>
  <si>
    <t>C 2423</t>
  </si>
  <si>
    <t>9.4</t>
  </si>
  <si>
    <t>Porta vai-vem (0,70 x 2,10)m (Circulação)</t>
  </si>
  <si>
    <t>73910/003</t>
  </si>
  <si>
    <t>9.5</t>
  </si>
  <si>
    <t>Portão de chapa no muro (4,00 x 1,80)m</t>
  </si>
  <si>
    <t>10.0</t>
  </si>
  <si>
    <t>REVESTIMENTO</t>
  </si>
  <si>
    <t>10.1</t>
  </si>
  <si>
    <t>Chapisco do muro - 1 lado nos fundos e 2 lados na lateral</t>
  </si>
  <si>
    <t>10.2</t>
  </si>
  <si>
    <t>Chapisco parede</t>
  </si>
  <si>
    <t>10.3</t>
  </si>
  <si>
    <t>Reboco parede</t>
  </si>
  <si>
    <t>11.0</t>
  </si>
  <si>
    <t>PINTURA</t>
  </si>
  <si>
    <t>11.1</t>
  </si>
  <si>
    <t>Aplicação manual de tinta com tinta látex acrilica em paredes, duas demãos</t>
  </si>
  <si>
    <t>11.2</t>
  </si>
  <si>
    <t>Aplicação e lixamento de massa látex em paredes, uma demão</t>
  </si>
  <si>
    <t>11.3</t>
  </si>
  <si>
    <t xml:space="preserve">Pintura epóxi com base seladora na sala de parto e consultório odontológico  </t>
  </si>
  <si>
    <t>73872/002</t>
  </si>
  <si>
    <t>11.4</t>
  </si>
  <si>
    <t xml:space="preserve">Textura acrílica hidro-repelente em paredes externas  </t>
  </si>
  <si>
    <t>C 2462</t>
  </si>
  <si>
    <t>11.5</t>
  </si>
  <si>
    <t>Aplicação manual de tinta com tinta látex acrilica em teto, duas demãos</t>
  </si>
  <si>
    <t>11.6</t>
  </si>
  <si>
    <t>Aplicação e lixamento de massa látex em teto, uma demão</t>
  </si>
  <si>
    <t>11.7</t>
  </si>
  <si>
    <t>Pintura do beiral metálico da cobertura</t>
  </si>
  <si>
    <t>73924/002</t>
  </si>
  <si>
    <t>11.8</t>
  </si>
  <si>
    <t>Pintura esmalte acetinado para madeira, duas demãos, sobre fundo nivelador branco</t>
  </si>
  <si>
    <t>74065/002</t>
  </si>
  <si>
    <t>11.9</t>
  </si>
  <si>
    <t xml:space="preserve">Pintura esmalte sintético, em esquadrias de ferro com base anti-ferrugem </t>
  </si>
  <si>
    <t>11.10</t>
  </si>
  <si>
    <t>Pintura esmalte sintético, em gradil de ferro com base anti-ferrugem</t>
  </si>
  <si>
    <t>12.0</t>
  </si>
  <si>
    <t>DIVERSOS</t>
  </si>
  <si>
    <t>12.1</t>
  </si>
  <si>
    <t xml:space="preserve">Extintor pó químico 6,0kg com sinalização   </t>
  </si>
  <si>
    <t>12.2</t>
  </si>
  <si>
    <t xml:space="preserve">Extintor CO2 6kg com sinalização   </t>
  </si>
  <si>
    <t>12.3</t>
  </si>
  <si>
    <t xml:space="preserve">Extintor água pressurizada 10kg inc. sinalização </t>
  </si>
  <si>
    <t>73775/002</t>
  </si>
  <si>
    <t>12.4</t>
  </si>
  <si>
    <t xml:space="preserve">Forro de gesso </t>
  </si>
  <si>
    <t>12.5</t>
  </si>
  <si>
    <t>Vidro liso 4mm</t>
  </si>
  <si>
    <t>12.6</t>
  </si>
  <si>
    <t xml:space="preserve">Calçada de contorno do prédio  </t>
  </si>
  <si>
    <t>73892/002</t>
  </si>
  <si>
    <t>12.7</t>
  </si>
  <si>
    <t xml:space="preserve">Forro em placa de gesso pre-moldada liso, incluso estrutura metálica  </t>
  </si>
  <si>
    <t>73986/001</t>
  </si>
  <si>
    <t>12.8</t>
  </si>
  <si>
    <t>Barra de apoio (para deficientes) em aço inox polido l = 90cm, d = 38,1mm</t>
  </si>
  <si>
    <t>12.9</t>
  </si>
  <si>
    <t>Barra de apoio (para deficientes) em aço inox polido l = 50cm, d = 38,1mm</t>
  </si>
  <si>
    <t>12.10</t>
  </si>
  <si>
    <t xml:space="preserve">Ajardinamento diverso (com colchão de areia vegetal, plantação de grama e meio-fio de contenção)  </t>
  </si>
  <si>
    <t>74236/001</t>
  </si>
  <si>
    <t>12.11</t>
  </si>
  <si>
    <t xml:space="preserve">Gradil metálico da fachada em ferro na fachada  </t>
  </si>
  <si>
    <t>C 1426</t>
  </si>
  <si>
    <t>12.12</t>
  </si>
  <si>
    <t>Bate-macas em madeira boleada</t>
  </si>
  <si>
    <t>C 0384</t>
  </si>
  <si>
    <t>12.13</t>
  </si>
  <si>
    <t xml:space="preserve">Limpeza geral da obra com remoção de entulho  </t>
  </si>
  <si>
    <t>SUB-TOTAL</t>
  </si>
  <si>
    <t xml:space="preserve">ABRIGO DE RESÍDUOS </t>
  </si>
  <si>
    <t>1.00</t>
  </si>
  <si>
    <t>QUANT</t>
  </si>
  <si>
    <t>P. UNIT.</t>
  </si>
  <si>
    <t>P. UNIT.c/bdi 24,67%</t>
  </si>
  <si>
    <t>1.01</t>
  </si>
  <si>
    <t>Limpeza manual do terreno</t>
  </si>
  <si>
    <t>73948/016</t>
  </si>
  <si>
    <t>m²</t>
  </si>
  <si>
    <t>1.02</t>
  </si>
  <si>
    <t>Locação da obra</t>
  </si>
  <si>
    <t>73992/001</t>
  </si>
  <si>
    <t>2.00</t>
  </si>
  <si>
    <t>2.01</t>
  </si>
  <si>
    <t>Escavação manual de valas</t>
  </si>
  <si>
    <t>73965/001</t>
  </si>
  <si>
    <t>m³</t>
  </si>
  <si>
    <t>2.02</t>
  </si>
  <si>
    <t>Aterro apiloadao em camadas de 20 cm</t>
  </si>
  <si>
    <t>2.03</t>
  </si>
  <si>
    <t>Compactação manual de valas</t>
  </si>
  <si>
    <t>2.04</t>
  </si>
  <si>
    <t>Transporte de material - Bota-fora</t>
  </si>
  <si>
    <t>3.00</t>
  </si>
  <si>
    <t>3.01</t>
  </si>
  <si>
    <t>Alvenaria de pedra argamassada</t>
  </si>
  <si>
    <t>74053/001</t>
  </si>
  <si>
    <t>3.02</t>
  </si>
  <si>
    <t>Embasamento com pedra argamassada</t>
  </si>
  <si>
    <t>3.03</t>
  </si>
  <si>
    <t>Cinta de amarração em conc. Armado</t>
  </si>
  <si>
    <t>3.04</t>
  </si>
  <si>
    <t>Lastro de concreto 1:3:5</t>
  </si>
  <si>
    <t>73907/003</t>
  </si>
  <si>
    <t xml:space="preserve">m² </t>
  </si>
  <si>
    <t>4.00</t>
  </si>
  <si>
    <t>4.01</t>
  </si>
  <si>
    <t>Alvenaria em tijolo furado</t>
  </si>
  <si>
    <t>73935/002</t>
  </si>
  <si>
    <t>5.00</t>
  </si>
  <si>
    <t>5.01</t>
  </si>
  <si>
    <t>Estrutura de madeira para cobertura</t>
  </si>
  <si>
    <t>5.02</t>
  </si>
  <si>
    <t>Cobertura em telha cerâmica</t>
  </si>
  <si>
    <t>73938/002</t>
  </si>
  <si>
    <t>5.03</t>
  </si>
  <si>
    <t>Imunização do madeiramento</t>
  </si>
  <si>
    <t>5.04</t>
  </si>
  <si>
    <t>Cumeeira em telhas cerâmicas</t>
  </si>
  <si>
    <t>6.00</t>
  </si>
  <si>
    <t>INSTALAÇÕES ELÉTRICAS</t>
  </si>
  <si>
    <t>6.01</t>
  </si>
  <si>
    <t>Interruptor simples</t>
  </si>
  <si>
    <t>und</t>
  </si>
  <si>
    <t>6.02</t>
  </si>
  <si>
    <t>Luminária tipo calha de sobrepor de 2 x 20 W</t>
  </si>
  <si>
    <t>7.00</t>
  </si>
  <si>
    <t>INSTALAÇÕES HIDRO-SANITÁRIAS</t>
  </si>
  <si>
    <t>7.01</t>
  </si>
  <si>
    <t xml:space="preserve"> Registro gaveta3/4" cromado</t>
  </si>
  <si>
    <t>7.02</t>
  </si>
  <si>
    <t xml:space="preserve">Caixa de inpeção 60x60x60cm, com tampa e fundo de concreto </t>
  </si>
  <si>
    <t>74104/001</t>
  </si>
  <si>
    <t>7.03</t>
  </si>
  <si>
    <t xml:space="preserve"> Caixa de inspeção 80X80X80cm em alvenaria</t>
  </si>
  <si>
    <t>7.04</t>
  </si>
  <si>
    <t xml:space="preserve">Tubo PVC soldável marrom D=20mm (1/2") </t>
  </si>
  <si>
    <t>SEINFRA/CE</t>
  </si>
  <si>
    <t>C2624</t>
  </si>
  <si>
    <t>7.05</t>
  </si>
  <si>
    <t xml:space="preserve"> Ponto de água fria PVC 1/2" E = 25mm</t>
  </si>
  <si>
    <t>7.06</t>
  </si>
  <si>
    <t xml:space="preserve"> Torneira cromada longa 1/2" OU 3/4" de parede</t>
  </si>
  <si>
    <t>7.07</t>
  </si>
  <si>
    <r>
      <t xml:space="preserve"> Ponto de esgoto PVC branco 100mm </t>
    </r>
    <r>
      <rPr>
        <i/>
        <sz val="12"/>
        <color indexed="10"/>
        <rFont val="Arial"/>
        <family val="2"/>
      </rPr>
      <t xml:space="preserve"> </t>
    </r>
  </si>
  <si>
    <t>C2593</t>
  </si>
  <si>
    <t>PT</t>
  </si>
  <si>
    <t>8.00</t>
  </si>
  <si>
    <t>8.01</t>
  </si>
  <si>
    <t xml:space="preserve"> Piso cimentado queimado, traço 1:3 (cimento e areia grossa), 1,5cm, inc. aditivo impérmeabilizante</t>
  </si>
  <si>
    <t>73991/004</t>
  </si>
  <si>
    <t>9.00</t>
  </si>
  <si>
    <t>9.01</t>
  </si>
  <si>
    <t xml:space="preserve"> Portão de ferro em chapa plana 14" </t>
  </si>
  <si>
    <t>9.02</t>
  </si>
  <si>
    <t xml:space="preserve"> Grade de ferro em barra chata 3/16" </t>
  </si>
  <si>
    <t>73932/001</t>
  </si>
  <si>
    <t>10.00</t>
  </si>
  <si>
    <t>10.01</t>
  </si>
  <si>
    <t>Chapisco paredes</t>
  </si>
  <si>
    <t>10.02</t>
  </si>
  <si>
    <t>Reboco paredes</t>
  </si>
  <si>
    <t>10.03</t>
  </si>
  <si>
    <t xml:space="preserve"> Emboço paredes</t>
  </si>
  <si>
    <t>10.04</t>
  </si>
  <si>
    <t>Azulejo  15x15cm fixado com argamassa colante</t>
  </si>
  <si>
    <t>11.00</t>
  </si>
  <si>
    <t>11.01</t>
  </si>
  <si>
    <t xml:space="preserve">Pintura hidracor, três demãos </t>
  </si>
  <si>
    <t>73791/001</t>
  </si>
  <si>
    <t>11.02</t>
  </si>
  <si>
    <t>Esmalte em ferro inc. zarcão, 2 demãos</t>
  </si>
  <si>
    <t>12.00</t>
  </si>
  <si>
    <t>12.01</t>
  </si>
  <si>
    <t xml:space="preserve"> Calçada em concreto, traço 1:3:5, E=7cm </t>
  </si>
  <si>
    <t>12.02</t>
  </si>
  <si>
    <t>Piso cimentado com junta de dilatação / xadrez</t>
  </si>
  <si>
    <t>12.03</t>
  </si>
  <si>
    <t>Blocos intertravados, 7 cm, com colchão de areia</t>
  </si>
  <si>
    <t>73764/004</t>
  </si>
  <si>
    <t>12.04</t>
  </si>
  <si>
    <t>Limpeza final da obra</t>
  </si>
  <si>
    <t>Importa o orçamento no valor de R$ 147.668,33 (cento e quarenta e sete mil, seiscentos e sessenta e oito reais e trinta e três centavos).</t>
  </si>
  <si>
    <t>Teresina (PI), 29 de julho de 2015</t>
  </si>
  <si>
    <t xml:space="preserve">                                SECRETARIA DE ESTADO DA SAÚDE DO PIAUÍ</t>
  </si>
  <si>
    <r>
      <t>Obra:</t>
    </r>
    <r>
      <rPr>
        <sz val="12"/>
        <rFont val="Calibri"/>
        <family val="2"/>
      </rPr>
      <t xml:space="preserve">  CONCLUSÃO DA CONSTRUÇÃO DA UBAS</t>
    </r>
  </si>
  <si>
    <r>
      <t>Município:</t>
    </r>
    <r>
      <rPr>
        <sz val="12"/>
        <rFont val="Arial"/>
        <family val="2"/>
      </rPr>
      <t xml:space="preserve"> Boqueirão - PI</t>
    </r>
  </si>
  <si>
    <r>
      <t>Endereço:</t>
    </r>
    <r>
      <rPr>
        <sz val="12"/>
        <rFont val="Calibri"/>
        <family val="2"/>
      </rPr>
      <t xml:space="preserve"> Zona Urbana</t>
    </r>
  </si>
  <si>
    <t>Data: 29/07/2015</t>
  </si>
  <si>
    <t>CRONOGRAMA FÍSICO-FINANCEIRO</t>
  </si>
  <si>
    <t>ITEM</t>
  </si>
  <si>
    <t>DISCRIMINAÇÃO</t>
  </si>
  <si>
    <t>% DO ITEM</t>
  </si>
  <si>
    <t>VALOR DO ITEM</t>
  </si>
  <si>
    <t>30 DIAS</t>
  </si>
  <si>
    <t>60 DIAS</t>
  </si>
  <si>
    <t>90 DIAS</t>
  </si>
  <si>
    <t>TOTAL</t>
  </si>
  <si>
    <t>%</t>
  </si>
  <si>
    <t>VALOR</t>
  </si>
  <si>
    <t>GOVERNO DO ESTADO DO PIAUÍ</t>
  </si>
  <si>
    <t>SECRETARIA DE ESTADO DA SAÚDE</t>
  </si>
  <si>
    <t>NÚCLEO DE INFRAESTRUTURA EM SAÚDE - NIS</t>
  </si>
  <si>
    <t>CÁLCULO DO BDI</t>
  </si>
  <si>
    <t>Composição do BDI</t>
  </si>
  <si>
    <t>Percentuais (%)</t>
  </si>
  <si>
    <t>1. Lucro</t>
  </si>
  <si>
    <t>2. Administração central</t>
  </si>
  <si>
    <t>3. Despesas financeiras</t>
  </si>
  <si>
    <t>4. ISSQN</t>
  </si>
  <si>
    <t>5. PIS</t>
  </si>
  <si>
    <t>6. COFINS</t>
  </si>
  <si>
    <t>7. INSS (2% sobre o faturamento)</t>
  </si>
  <si>
    <t>7. Garantia e riscos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</si>
  <si>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</si>
  <si>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</si>
  <si>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</si>
  <si>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</si>
  <si>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</si>
  <si>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</si>
  <si>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</si>
  <si>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</si>
  <si>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</si>
  <si>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 xml:space="preserve"> </t>
  </si>
  <si>
    <t xml:space="preserve">                               SECRETARIA DE ESTADO DA SAÚDE DO PIAUÍ</t>
  </si>
  <si>
    <t xml:space="preserve">                           NÚCLEO DE INFRAESTRUTURA EM SAÚDE - NIS</t>
  </si>
  <si>
    <t>MEMÓRIA DE CÁLCULO</t>
  </si>
  <si>
    <t>Quantitativo</t>
  </si>
  <si>
    <t>(3,00x1,50)=4,50 m²</t>
  </si>
  <si>
    <t>(20,00x1,00)=20,00 m²</t>
  </si>
  <si>
    <t>(2,60x19,00)x0,30=14,82 m³</t>
  </si>
  <si>
    <t>(3,00x4,00)=12,00 m³</t>
  </si>
  <si>
    <t>(2,00x0,40x0,40)x0,80=0,26 m³</t>
  </si>
  <si>
    <t>(19,00x0,22x0,30)=1,25 m³</t>
  </si>
  <si>
    <t>(19,00x2,60)x0,06=2,96 m²</t>
  </si>
  <si>
    <t>(2,00x4,20x0,20x0,20)=0,34 m³</t>
  </si>
  <si>
    <t>(25,00x2,00)=50,00 m²</t>
  </si>
  <si>
    <t>6,00 m</t>
  </si>
  <si>
    <t>20,00 unid</t>
  </si>
  <si>
    <t>6,00 unid</t>
  </si>
  <si>
    <t>1,00 unid</t>
  </si>
  <si>
    <t>4,00 unid</t>
  </si>
  <si>
    <t>19,00 unid</t>
  </si>
  <si>
    <t>5,00 unid</t>
  </si>
  <si>
    <t>3,00 unid</t>
  </si>
  <si>
    <t>8,00 unid</t>
  </si>
  <si>
    <t>2,00 unid</t>
  </si>
  <si>
    <t>18,00 unid</t>
  </si>
  <si>
    <t>69,00 unid</t>
  </si>
  <si>
    <t>11,00 unid</t>
  </si>
  <si>
    <t>17,00 unid</t>
  </si>
  <si>
    <t>10,00 unid</t>
  </si>
  <si>
    <t>7,00 unid</t>
  </si>
  <si>
    <t>29,00 unid</t>
  </si>
  <si>
    <t>(36,00x1,50)=43,20 m²</t>
  </si>
  <si>
    <t>(8,50x3,50)=29,75 m²</t>
  </si>
  <si>
    <t>(2,50x3,50)=8,75 m²</t>
  </si>
  <si>
    <t>150,00 m</t>
  </si>
  <si>
    <t>(6,00x4,00)=24,00 m²</t>
  </si>
  <si>
    <t>(0,80x1,00)=0,80 m²</t>
  </si>
  <si>
    <t>(47,63*0,80)=38,10 m²</t>
  </si>
  <si>
    <t>(4,00*1,80)=7,20 m²</t>
  </si>
  <si>
    <t>(97,00+30,00)x1,80=228,60 m²</t>
  </si>
  <si>
    <t>(158,55x2,80)=443,94 m²</t>
  </si>
  <si>
    <t>(36,89*2,80)=103,29 m²</t>
  </si>
  <si>
    <t>(123,92x3,30)=408,94 m²</t>
  </si>
  <si>
    <t>268,94 m²</t>
  </si>
  <si>
    <t>(64,55x0,80)=51,64 m²</t>
  </si>
  <si>
    <t>(29,00x0,80x2,10)=121,80 m²</t>
  </si>
  <si>
    <t>(21,75x0,80)=17,40 m²</t>
  </si>
  <si>
    <t>(18,36x1,80)x2,00=66,10 m²</t>
  </si>
  <si>
    <t>(10,00+20,00+20,00)=50,00 m²</t>
  </si>
  <si>
    <t>(0,60x0,40)x6,00=1,44 m²</t>
  </si>
  <si>
    <t>(15,00+15,00)x1,00=30,00m²</t>
  </si>
  <si>
    <t>50,0 m²</t>
  </si>
  <si>
    <t>(37,00x2,00)=74,00 m²</t>
  </si>
  <si>
    <t>(2,78x1,80)=5,00 m²</t>
  </si>
  <si>
    <t>28,70 m</t>
  </si>
  <si>
    <t>301,07 m²</t>
  </si>
  <si>
    <t>Quantidade</t>
  </si>
  <si>
    <t>(4,45x3,50)=15,58 m²</t>
  </si>
  <si>
    <t>(51,93x0,50x0,60)=15,58 m³</t>
  </si>
  <si>
    <t>(51,93x0,30)=3,29 m³</t>
  </si>
  <si>
    <t>(12,88x0,50)=6,44 m²</t>
  </si>
  <si>
    <t>6,00 m³</t>
  </si>
  <si>
    <t>(10,73x0,30x1,00)=3,22 m³</t>
  </si>
  <si>
    <t>(9,66x0,50)=4,83 m²</t>
  </si>
  <si>
    <t>(11,43x0,14x0,30)=0,48 m³</t>
  </si>
  <si>
    <t>(4,40+3,60+2,34+2,82)=13,16 m²</t>
  </si>
  <si>
    <t>(15,70x2,83)=44,43 m²</t>
  </si>
  <si>
    <t>25,50 m²</t>
  </si>
  <si>
    <t>20,40 m</t>
  </si>
  <si>
    <t>20,00 m</t>
  </si>
  <si>
    <t>4,00 m</t>
  </si>
  <si>
    <t>4,00 pt</t>
  </si>
  <si>
    <t>13,16 m²</t>
  </si>
  <si>
    <t>(0,80x2,10)x4=6,72 m²</t>
  </si>
  <si>
    <t>(1,40x0,80)x2=2,80 m²</t>
  </si>
  <si>
    <t>(15,86x2,80x2)=88,86 m²</t>
  </si>
  <si>
    <t>(88,86-31,20)=57,66 m²</t>
  </si>
  <si>
    <t>(20,80x1,50)=31,20 m²</t>
  </si>
  <si>
    <t>(11,18x0,80)=8,94 m²</t>
  </si>
  <si>
    <t>(3,00x1,20)=3,60 m²</t>
  </si>
  <si>
    <t>(9,71x1,20)=11,66 m²</t>
  </si>
  <si>
    <t>15,58 m²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</si>
</sst>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&quot;R$ &quot;* #,##0.00_);_(&quot;R$ &quot;* \(#,##0.00\);_(&quot;R$ &quot;* \-??_);_(@_)"/>
    <numFmt numFmtId="166" formatCode="0%"/>
    <numFmt numFmtId="167" formatCode="_(* #,##0.00_);_(* \(#,##0.00\);_(* \-??_);_(@_)"/>
    <numFmt numFmtId="168" formatCode="_-* #,##0.00_-;\-* #,##0.00_-;_-* \-??_-;_-@_-"/>
    <numFmt numFmtId="169" formatCode="0\.00"/>
    <numFmt numFmtId="170" formatCode="0.00%"/>
    <numFmt numFmtId="171" formatCode="_-* #,##0.0000_-;\-* #,##0.0000_-;_-* \-??_-;_-@_-"/>
    <numFmt numFmtId="172" formatCode="#,##0.0000_ ;\-#,##0.0000\ "/>
    <numFmt numFmtId="173" formatCode="_-* #,##0.000_-;\-* #,##0.000_-;_-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 Narrow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1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</cellStyleXfs>
  <cellXfs count="192">
    <xf numFmtId="164" fontId="0" fillId="0" borderId="0" xfId="0" applyAlignment="1">
      <alignment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8" fontId="3" fillId="3" borderId="0" xfId="0" applyNumberFormat="1" applyFont="1" applyFill="1" applyAlignment="1">
      <alignment horizontal="center" vertical="center" wrapText="1"/>
    </xf>
    <xf numFmtId="167" fontId="3" fillId="3" borderId="0" xfId="15" applyFont="1" applyFill="1" applyBorder="1" applyAlignment="1" applyProtection="1">
      <alignment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9" fontId="8" fillId="0" borderId="1" xfId="21" applyNumberFormat="1" applyFont="1" applyFill="1" applyBorder="1" applyAlignment="1">
      <alignment horizontal="left" vertical="center" wrapText="1"/>
      <protection/>
    </xf>
    <xf numFmtId="164" fontId="9" fillId="0" borderId="1" xfId="0" applyNumberFormat="1" applyFont="1" applyFill="1" applyBorder="1" applyAlignment="1">
      <alignment horizontal="left" vertical="center" wrapText="1"/>
    </xf>
    <xf numFmtId="169" fontId="6" fillId="0" borderId="1" xfId="21" applyNumberFormat="1" applyFont="1" applyFill="1" applyBorder="1" applyAlignment="1">
      <alignment horizontal="left" vertical="center" wrapText="1"/>
      <protection/>
    </xf>
    <xf numFmtId="169" fontId="10" fillId="0" borderId="1" xfId="21" applyNumberFormat="1" applyFont="1" applyFill="1" applyBorder="1" applyAlignment="1">
      <alignment vertical="center" wrapText="1"/>
      <protection/>
    </xf>
    <xf numFmtId="169" fontId="11" fillId="2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NumberFormat="1" applyFont="1" applyFill="1" applyBorder="1" applyAlignment="1">
      <alignment horizontal="center" vertical="center" wrapText="1"/>
      <protection/>
    </xf>
    <xf numFmtId="164" fontId="8" fillId="0" borderId="1" xfId="267" applyNumberFormat="1" applyFont="1" applyFill="1" applyBorder="1" applyAlignment="1" applyProtection="1">
      <alignment horizontal="center" vertical="center" wrapText="1"/>
      <protection/>
    </xf>
    <xf numFmtId="167" fontId="8" fillId="3" borderId="1" xfId="15" applyFont="1" applyFill="1" applyBorder="1" applyAlignment="1" applyProtection="1">
      <alignment horizontal="center" vertical="center" wrapText="1"/>
      <protection/>
    </xf>
    <xf numFmtId="167" fontId="8" fillId="0" borderId="1" xfId="15" applyFont="1" applyFill="1" applyBorder="1" applyAlignment="1" applyProtection="1">
      <alignment horizontal="center" vertical="center" wrapText="1"/>
      <protection/>
    </xf>
    <xf numFmtId="167" fontId="8" fillId="3" borderId="1" xfId="15" applyFont="1" applyFill="1" applyBorder="1" applyAlignment="1" applyProtection="1">
      <alignment vertical="center" wrapText="1"/>
      <protection/>
    </xf>
    <xf numFmtId="170" fontId="8" fillId="3" borderId="1" xfId="19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7" fontId="4" fillId="3" borderId="1" xfId="15" applyFont="1" applyFill="1" applyBorder="1" applyAlignment="1" applyProtection="1">
      <alignment horizontal="center" vertical="center" wrapText="1"/>
      <protection/>
    </xf>
    <xf numFmtId="165" fontId="14" fillId="0" borderId="1" xfId="17" applyFont="1" applyFill="1" applyBorder="1" applyAlignment="1" applyProtection="1">
      <alignment vertical="center"/>
      <protection/>
    </xf>
    <xf numFmtId="165" fontId="8" fillId="3" borderId="1" xfId="17" applyFont="1" applyFill="1" applyBorder="1" applyAlignment="1" applyProtection="1">
      <alignment vertical="center"/>
      <protection/>
    </xf>
    <xf numFmtId="165" fontId="9" fillId="0" borderId="1" xfId="17" applyFont="1" applyFill="1" applyBorder="1" applyAlignment="1" applyProtection="1">
      <alignment horizontal="right" vertical="center"/>
      <protection/>
    </xf>
    <xf numFmtId="170" fontId="9" fillId="0" borderId="1" xfId="19" applyNumberFormat="1" applyFont="1" applyFill="1" applyBorder="1" applyAlignment="1" applyProtection="1">
      <alignment horizontal="center" vertical="center"/>
      <protection/>
    </xf>
    <xf numFmtId="164" fontId="3" fillId="3" borderId="0" xfId="0" applyFont="1" applyFill="1" applyAlignment="1">
      <alignment wrapText="1"/>
    </xf>
    <xf numFmtId="164" fontId="4" fillId="3" borderId="1" xfId="0" applyFont="1" applyFill="1" applyBorder="1" applyAlignment="1">
      <alignment horizontal="center" vertical="top"/>
    </xf>
    <xf numFmtId="164" fontId="4" fillId="3" borderId="1" xfId="0" applyFont="1" applyFill="1" applyBorder="1" applyAlignment="1">
      <alignment horizontal="left" vertical="top"/>
    </xf>
    <xf numFmtId="164" fontId="4" fillId="3" borderId="1" xfId="0" applyFont="1" applyFill="1" applyBorder="1" applyAlignment="1">
      <alignment horizontal="center" vertical="center"/>
    </xf>
    <xf numFmtId="167" fontId="4" fillId="3" borderId="1" xfId="15" applyFont="1" applyFill="1" applyBorder="1" applyAlignment="1" applyProtection="1">
      <alignment horizontal="center" vertical="center"/>
      <protection/>
    </xf>
    <xf numFmtId="165" fontId="14" fillId="3" borderId="1" xfId="17" applyFont="1" applyFill="1" applyBorder="1" applyAlignment="1" applyProtection="1">
      <alignment vertical="center"/>
      <protection/>
    </xf>
    <xf numFmtId="165" fontId="13" fillId="0" borderId="1" xfId="17" applyFont="1" applyFill="1" applyBorder="1" applyAlignment="1" applyProtection="1">
      <alignment horizontal="right" vertical="center"/>
      <protection/>
    </xf>
    <xf numFmtId="168" fontId="13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vertical="center"/>
    </xf>
    <xf numFmtId="164" fontId="13" fillId="0" borderId="1" xfId="0" applyFont="1" applyBorder="1" applyAlignment="1">
      <alignment horizontal="center" wrapText="1"/>
    </xf>
    <xf numFmtId="164" fontId="4" fillId="3" borderId="1" xfId="0" applyFont="1" applyFill="1" applyBorder="1" applyAlignment="1">
      <alignment horizontal="left" vertical="center" wrapText="1"/>
    </xf>
    <xf numFmtId="167" fontId="4" fillId="3" borderId="1" xfId="0" applyNumberFormat="1" applyFont="1" applyFill="1" applyBorder="1" applyAlignment="1">
      <alignment vertical="center"/>
    </xf>
    <xf numFmtId="164" fontId="4" fillId="3" borderId="1" xfId="0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/>
    </xf>
    <xf numFmtId="164" fontId="13" fillId="0" borderId="1" xfId="0" applyFont="1" applyBorder="1" applyAlignment="1">
      <alignment horizontal="center" vertical="center" wrapText="1"/>
    </xf>
    <xf numFmtId="168" fontId="4" fillId="3" borderId="1" xfId="15" applyNumberFormat="1" applyFont="1" applyFill="1" applyBorder="1" applyAlignment="1" applyProtection="1">
      <alignment vertical="center"/>
      <protection/>
    </xf>
    <xf numFmtId="167" fontId="4" fillId="3" borderId="1" xfId="15" applyFont="1" applyFill="1" applyBorder="1" applyAlignment="1" applyProtection="1">
      <alignment vertical="center"/>
      <protection/>
    </xf>
    <xf numFmtId="165" fontId="14" fillId="0" borderId="1" xfId="17" applyFont="1" applyFill="1" applyBorder="1" applyAlignment="1" applyProtection="1">
      <alignment vertical="center" wrapText="1"/>
      <protection/>
    </xf>
    <xf numFmtId="165" fontId="15" fillId="3" borderId="1" xfId="0" applyNumberFormat="1" applyFont="1" applyFill="1" applyBorder="1" applyAlignment="1">
      <alignment wrapText="1"/>
    </xf>
    <xf numFmtId="164" fontId="4" fillId="3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vertical="center" wrapText="1"/>
    </xf>
    <xf numFmtId="168" fontId="4" fillId="3" borderId="1" xfId="15" applyNumberFormat="1" applyFont="1" applyFill="1" applyBorder="1" applyAlignment="1" applyProtection="1">
      <alignment horizontal="left" vertical="center"/>
      <protection/>
    </xf>
    <xf numFmtId="167" fontId="4" fillId="3" borderId="1" xfId="15" applyFont="1" applyFill="1" applyBorder="1" applyAlignment="1" applyProtection="1">
      <alignment horizontal="left" vertical="center"/>
      <protection/>
    </xf>
    <xf numFmtId="164" fontId="13" fillId="0" borderId="1" xfId="0" applyFont="1" applyBorder="1" applyAlignment="1">
      <alignment vertical="center" wrapText="1"/>
    </xf>
    <xf numFmtId="164" fontId="4" fillId="3" borderId="1" xfId="0" applyFont="1" applyFill="1" applyBorder="1" applyAlignment="1">
      <alignment vertical="top" wrapText="1"/>
    </xf>
    <xf numFmtId="164" fontId="3" fillId="3" borderId="0" xfId="0" applyFont="1" applyFill="1" applyAlignment="1">
      <alignment horizontal="left" vertical="center" wrapText="1"/>
    </xf>
    <xf numFmtId="164" fontId="3" fillId="3" borderId="0" xfId="0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center"/>
    </xf>
    <xf numFmtId="170" fontId="9" fillId="0" borderId="0" xfId="19" applyNumberFormat="1" applyFont="1" applyFill="1" applyBorder="1" applyAlignment="1" applyProtection="1">
      <alignment horizontal="center" vertical="center"/>
      <protection/>
    </xf>
    <xf numFmtId="167" fontId="17" fillId="4" borderId="2" xfId="271" applyFont="1" applyFill="1" applyBorder="1" applyAlignment="1" applyProtection="1">
      <alignment horizontal="center" vertical="center"/>
      <protection/>
    </xf>
    <xf numFmtId="164" fontId="1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7" fontId="4" fillId="0" borderId="1" xfId="15" applyFont="1" applyFill="1" applyBorder="1" applyAlignment="1" applyProtection="1">
      <alignment vertical="center"/>
      <protection/>
    </xf>
    <xf numFmtId="168" fontId="4" fillId="0" borderId="1" xfId="0" applyNumberFormat="1" applyFont="1" applyFill="1" applyBorder="1" applyAlignment="1">
      <alignment horizontal="center"/>
    </xf>
    <xf numFmtId="167" fontId="4" fillId="0" borderId="1" xfId="15" applyFont="1" applyFill="1" applyBorder="1" applyAlignment="1" applyProtection="1">
      <alignment vertical="center" wrapText="1"/>
      <protection/>
    </xf>
    <xf numFmtId="167" fontId="12" fillId="0" borderId="1" xfId="15" applyFont="1" applyFill="1" applyBorder="1" applyAlignment="1" applyProtection="1">
      <alignment vertical="center"/>
      <protection/>
    </xf>
    <xf numFmtId="167" fontId="12" fillId="0" borderId="1" xfId="15" applyFont="1" applyFill="1" applyBorder="1" applyAlignment="1" applyProtection="1">
      <alignment vertical="center" wrapText="1"/>
      <protection/>
    </xf>
    <xf numFmtId="164" fontId="18" fillId="0" borderId="1" xfId="0" applyFont="1" applyFill="1" applyBorder="1" applyAlignment="1">
      <alignment horizontal="center"/>
    </xf>
    <xf numFmtId="164" fontId="19" fillId="0" borderId="1" xfId="0" applyFont="1" applyFill="1" applyBorder="1" applyAlignment="1">
      <alignment vertical="center"/>
    </xf>
    <xf numFmtId="164" fontId="18" fillId="0" borderId="1" xfId="0" applyFont="1" applyFill="1" applyBorder="1" applyAlignment="1">
      <alignment horizontal="center" vertical="center"/>
    </xf>
    <xf numFmtId="164" fontId="21" fillId="3" borderId="1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 wrapText="1"/>
    </xf>
    <xf numFmtId="164" fontId="3" fillId="3" borderId="0" xfId="0" applyFont="1" applyFill="1" applyBorder="1" applyAlignment="1">
      <alignment horizontal="left" vertical="center" wrapText="1"/>
    </xf>
    <xf numFmtId="164" fontId="24" fillId="0" borderId="0" xfId="265" applyFont="1" applyFill="1">
      <alignment/>
      <protection/>
    </xf>
    <xf numFmtId="167" fontId="24" fillId="0" borderId="0" xfId="412" applyFont="1" applyFill="1" applyBorder="1" applyAlignment="1" applyProtection="1">
      <alignment/>
      <protection/>
    </xf>
    <xf numFmtId="164" fontId="4" fillId="0" borderId="0" xfId="265" applyFont="1" applyFill="1" applyAlignment="1">
      <alignment vertical="center" wrapText="1"/>
      <protection/>
    </xf>
    <xf numFmtId="167" fontId="25" fillId="0" borderId="0" xfId="412" applyFont="1" applyFill="1" applyBorder="1" applyAlignment="1" applyProtection="1">
      <alignment vertical="center" wrapText="1"/>
      <protection/>
    </xf>
    <xf numFmtId="167" fontId="4" fillId="0" borderId="0" xfId="412" applyFont="1" applyFill="1" applyBorder="1" applyAlignment="1" applyProtection="1">
      <alignment vertical="center" wrapText="1"/>
      <protection/>
    </xf>
    <xf numFmtId="164" fontId="1" fillId="0" borderId="3" xfId="265" applyFont="1" applyFill="1" applyBorder="1" applyAlignment="1">
      <alignment vertical="center"/>
      <protection/>
    </xf>
    <xf numFmtId="164" fontId="11" fillId="0" borderId="0" xfId="265" applyFont="1" applyFill="1" applyBorder="1" applyAlignment="1">
      <alignment horizontal="center" vertical="center"/>
      <protection/>
    </xf>
    <xf numFmtId="164" fontId="5" fillId="0" borderId="1" xfId="177" applyFont="1" applyFill="1" applyBorder="1" applyAlignment="1">
      <alignment horizontal="center" vertical="center" wrapText="1"/>
      <protection/>
    </xf>
    <xf numFmtId="164" fontId="5" fillId="0" borderId="0" xfId="177" applyFont="1" applyFill="1" applyBorder="1" applyAlignment="1">
      <alignment vertical="center" wrapText="1"/>
      <protection/>
    </xf>
    <xf numFmtId="164" fontId="1" fillId="0" borderId="4" xfId="265" applyFont="1" applyFill="1" applyBorder="1" applyAlignment="1">
      <alignment vertical="center"/>
      <protection/>
    </xf>
    <xf numFmtId="164" fontId="24" fillId="0" borderId="0" xfId="265" applyFont="1" applyFill="1" applyAlignment="1">
      <alignment/>
      <protection/>
    </xf>
    <xf numFmtId="169" fontId="8" fillId="0" borderId="1" xfId="22" applyNumberFormat="1" applyFont="1" applyFill="1" applyBorder="1" applyAlignment="1">
      <alignment horizontal="left" wrapText="1"/>
      <protection/>
    </xf>
    <xf numFmtId="169" fontId="5" fillId="0" borderId="2" xfId="22" applyNumberFormat="1" applyFont="1" applyFill="1" applyBorder="1" applyAlignment="1">
      <alignment horizontal="left" wrapText="1"/>
      <protection/>
    </xf>
    <xf numFmtId="169" fontId="1" fillId="0" borderId="0" xfId="22" applyNumberFormat="1" applyFont="1" applyFill="1" applyBorder="1" applyAlignment="1">
      <alignment wrapText="1"/>
      <protection/>
    </xf>
    <xf numFmtId="169" fontId="6" fillId="0" borderId="1" xfId="22" applyNumberFormat="1" applyFont="1" applyFill="1" applyBorder="1" applyAlignment="1">
      <alignment horizontal="center" wrapText="1"/>
      <protection/>
    </xf>
    <xf numFmtId="169" fontId="1" fillId="0" borderId="5" xfId="22" applyNumberFormat="1" applyFont="1" applyFill="1" applyBorder="1" applyAlignment="1">
      <alignment wrapText="1"/>
      <protection/>
    </xf>
    <xf numFmtId="169" fontId="1" fillId="0" borderId="4" xfId="22" applyNumberFormat="1" applyFont="1" applyFill="1" applyBorder="1" applyAlignment="1">
      <alignment horizontal="left" wrapText="1"/>
      <protection/>
    </xf>
    <xf numFmtId="169" fontId="1" fillId="0" borderId="0" xfId="22" applyNumberFormat="1" applyFont="1" applyFill="1" applyBorder="1" applyAlignment="1">
      <alignment horizontal="left" wrapText="1"/>
      <protection/>
    </xf>
    <xf numFmtId="169" fontId="12" fillId="0" borderId="0" xfId="22" applyNumberFormat="1" applyFont="1" applyFill="1" applyBorder="1" applyAlignment="1">
      <alignment horizontal="left" wrapText="1"/>
      <protection/>
    </xf>
    <xf numFmtId="169" fontId="5" fillId="0" borderId="0" xfId="22" applyNumberFormat="1" applyFont="1" applyFill="1" applyBorder="1" applyAlignment="1">
      <alignment horizontal="left" wrapText="1"/>
      <protection/>
    </xf>
    <xf numFmtId="169" fontId="12" fillId="0" borderId="5" xfId="22" applyNumberFormat="1" applyFont="1" applyFill="1" applyBorder="1" applyAlignment="1">
      <alignment horizontal="left" wrapText="1"/>
      <protection/>
    </xf>
    <xf numFmtId="169" fontId="11" fillId="2" borderId="1" xfId="163" applyNumberFormat="1" applyFont="1" applyFill="1" applyBorder="1" applyAlignment="1">
      <alignment horizontal="center" vertical="center" wrapText="1"/>
      <protection/>
    </xf>
    <xf numFmtId="169" fontId="11" fillId="0" borderId="4" xfId="163" applyNumberFormat="1" applyFont="1" applyFill="1" applyBorder="1" applyAlignment="1">
      <alignment horizontal="center" vertical="center" wrapText="1"/>
      <protection/>
    </xf>
    <xf numFmtId="169" fontId="11" fillId="0" borderId="0" xfId="163" applyNumberFormat="1" applyFont="1" applyFill="1" applyBorder="1" applyAlignment="1">
      <alignment horizontal="center" vertical="center" wrapText="1"/>
      <protection/>
    </xf>
    <xf numFmtId="169" fontId="11" fillId="0" borderId="5" xfId="163" applyNumberFormat="1" applyFont="1" applyFill="1" applyBorder="1" applyAlignment="1">
      <alignment horizontal="center" vertical="center" wrapText="1"/>
      <protection/>
    </xf>
    <xf numFmtId="164" fontId="8" fillId="0" borderId="1" xfId="265" applyFont="1" applyFill="1" applyBorder="1" applyAlignment="1">
      <alignment horizontal="center" vertical="center" wrapText="1"/>
      <protection/>
    </xf>
    <xf numFmtId="164" fontId="18" fillId="0" borderId="0" xfId="265" applyFont="1" applyFill="1" applyBorder="1" applyAlignment="1">
      <alignment vertical="center" wrapText="1"/>
      <protection/>
    </xf>
    <xf numFmtId="164" fontId="8" fillId="0" borderId="1" xfId="265" applyFont="1" applyFill="1" applyBorder="1" applyAlignment="1">
      <alignment horizontal="center"/>
      <protection/>
    </xf>
    <xf numFmtId="164" fontId="8" fillId="0" borderId="1" xfId="265" applyFont="1" applyFill="1" applyBorder="1" applyAlignment="1">
      <alignment horizontal="left"/>
      <protection/>
    </xf>
    <xf numFmtId="170" fontId="14" fillId="0" borderId="1" xfId="270" applyNumberFormat="1" applyFont="1" applyFill="1" applyBorder="1" applyAlignment="1" applyProtection="1">
      <alignment horizontal="center"/>
      <protection/>
    </xf>
    <xf numFmtId="165" fontId="14" fillId="0" borderId="1" xfId="20" applyFont="1" applyFill="1" applyBorder="1" applyAlignment="1" applyProtection="1">
      <alignment horizontal="right"/>
      <protection/>
    </xf>
    <xf numFmtId="166" fontId="14" fillId="0" borderId="1" xfId="270" applyFont="1" applyFill="1" applyBorder="1" applyAlignment="1" applyProtection="1">
      <alignment horizontal="center"/>
      <protection/>
    </xf>
    <xf numFmtId="164" fontId="26" fillId="0" borderId="0" xfId="265" applyFont="1" applyFill="1" applyAlignment="1">
      <alignment/>
      <protection/>
    </xf>
    <xf numFmtId="164" fontId="24" fillId="0" borderId="0" xfId="265" applyFont="1" applyFill="1" applyBorder="1">
      <alignment/>
      <protection/>
    </xf>
    <xf numFmtId="164" fontId="24" fillId="0" borderId="0" xfId="265" applyFont="1" applyFill="1" applyBorder="1" applyAlignment="1">
      <alignment horizontal="center" vertical="center"/>
      <protection/>
    </xf>
    <xf numFmtId="164" fontId="24" fillId="0" borderId="0" xfId="265" applyFont="1" applyFill="1" applyBorder="1" applyAlignment="1">
      <alignment vertical="center"/>
      <protection/>
    </xf>
    <xf numFmtId="167" fontId="24" fillId="0" borderId="0" xfId="412" applyFont="1" applyFill="1" applyBorder="1" applyAlignment="1" applyProtection="1">
      <alignment horizontal="right" vertical="center"/>
      <protection/>
    </xf>
    <xf numFmtId="168" fontId="24" fillId="0" borderId="0" xfId="412" applyNumberFormat="1" applyFont="1" applyFill="1" applyBorder="1" applyAlignment="1" applyProtection="1">
      <alignment horizontal="right" vertical="center"/>
      <protection/>
    </xf>
    <xf numFmtId="168" fontId="24" fillId="0" borderId="0" xfId="265" applyNumberFormat="1" applyFont="1" applyFill="1" applyBorder="1" applyAlignment="1">
      <alignment horizontal="right" vertical="center"/>
      <protection/>
    </xf>
    <xf numFmtId="164" fontId="26" fillId="0" borderId="0" xfId="265" applyFont="1" applyFill="1" applyBorder="1">
      <alignment/>
      <protection/>
    </xf>
    <xf numFmtId="164" fontId="27" fillId="0" borderId="1" xfId="265" applyFont="1" applyFill="1" applyBorder="1">
      <alignment/>
      <protection/>
    </xf>
    <xf numFmtId="167" fontId="27" fillId="0" borderId="1" xfId="412" applyFont="1" applyFill="1" applyBorder="1" applyAlignment="1" applyProtection="1">
      <alignment/>
      <protection/>
    </xf>
    <xf numFmtId="165" fontId="8" fillId="0" borderId="1" xfId="20" applyFont="1" applyFill="1" applyBorder="1" applyAlignment="1" applyProtection="1">
      <alignment horizontal="right"/>
      <protection/>
    </xf>
    <xf numFmtId="167" fontId="26" fillId="0" borderId="0" xfId="412" applyFont="1" applyFill="1" applyBorder="1" applyAlignment="1" applyProtection="1">
      <alignment/>
      <protection/>
    </xf>
    <xf numFmtId="164" fontId="26" fillId="0" borderId="0" xfId="265" applyFont="1" applyFill="1">
      <alignment/>
      <protection/>
    </xf>
    <xf numFmtId="164" fontId="0" fillId="0" borderId="0" xfId="177">
      <alignment/>
      <protection/>
    </xf>
    <xf numFmtId="164" fontId="0" fillId="5" borderId="3" xfId="177" applyFill="1" applyBorder="1">
      <alignment/>
      <protection/>
    </xf>
    <xf numFmtId="164" fontId="0" fillId="5" borderId="6" xfId="177" applyFill="1" applyBorder="1">
      <alignment/>
      <protection/>
    </xf>
    <xf numFmtId="164" fontId="28" fillId="5" borderId="6" xfId="177" applyFont="1" applyFill="1" applyBorder="1" applyAlignment="1">
      <alignment horizontal="left" vertical="center" indent="10"/>
      <protection/>
    </xf>
    <xf numFmtId="164" fontId="28" fillId="5" borderId="6" xfId="177" applyFont="1" applyFill="1" applyBorder="1" applyAlignment="1">
      <alignment horizontal="left" vertical="center"/>
      <protection/>
    </xf>
    <xf numFmtId="164" fontId="29" fillId="5" borderId="6" xfId="177" applyFont="1" applyFill="1" applyBorder="1" applyAlignment="1">
      <alignment vertical="center"/>
      <protection/>
    </xf>
    <xf numFmtId="164" fontId="29" fillId="5" borderId="7" xfId="177" applyFont="1" applyFill="1" applyBorder="1" applyAlignment="1">
      <alignment vertical="center"/>
      <protection/>
    </xf>
    <xf numFmtId="164" fontId="0" fillId="5" borderId="7" xfId="177" applyFill="1" applyBorder="1">
      <alignment/>
      <protection/>
    </xf>
    <xf numFmtId="164" fontId="0" fillId="5" borderId="4" xfId="177" applyFill="1" applyBorder="1">
      <alignment/>
      <protection/>
    </xf>
    <xf numFmtId="164" fontId="0" fillId="5" borderId="0" xfId="177" applyFill="1" applyBorder="1">
      <alignment/>
      <protection/>
    </xf>
    <xf numFmtId="164" fontId="30" fillId="5" borderId="0" xfId="177" applyFont="1" applyFill="1" applyBorder="1" applyAlignment="1">
      <alignment horizontal="left" vertical="center" indent="10"/>
      <protection/>
    </xf>
    <xf numFmtId="164" fontId="30" fillId="5" borderId="0" xfId="177" applyFont="1" applyFill="1" applyBorder="1" applyAlignment="1">
      <alignment horizontal="left" vertical="center"/>
      <protection/>
    </xf>
    <xf numFmtId="164" fontId="31" fillId="5" borderId="0" xfId="177" applyFont="1" applyFill="1" applyBorder="1" applyAlignment="1">
      <alignment vertical="center"/>
      <protection/>
    </xf>
    <xf numFmtId="164" fontId="31" fillId="5" borderId="5" xfId="177" applyFont="1" applyFill="1" applyBorder="1" applyAlignment="1">
      <alignment vertical="center"/>
      <protection/>
    </xf>
    <xf numFmtId="164" fontId="0" fillId="5" borderId="5" xfId="177" applyFill="1" applyBorder="1">
      <alignment/>
      <protection/>
    </xf>
    <xf numFmtId="164" fontId="0" fillId="5" borderId="8" xfId="177" applyFill="1" applyBorder="1">
      <alignment/>
      <protection/>
    </xf>
    <xf numFmtId="164" fontId="0" fillId="5" borderId="9" xfId="177" applyFill="1" applyBorder="1">
      <alignment/>
      <protection/>
    </xf>
    <xf numFmtId="164" fontId="30" fillId="5" borderId="9" xfId="177" applyFont="1" applyFill="1" applyBorder="1" applyAlignment="1">
      <alignment horizontal="left" vertical="center" indent="10"/>
      <protection/>
    </xf>
    <xf numFmtId="164" fontId="30" fillId="5" borderId="9" xfId="177" applyFont="1" applyFill="1" applyBorder="1" applyAlignment="1">
      <alignment horizontal="left" vertical="center"/>
      <protection/>
    </xf>
    <xf numFmtId="164" fontId="31" fillId="5" borderId="9" xfId="177" applyFont="1" applyFill="1" applyBorder="1" applyAlignment="1">
      <alignment vertical="center"/>
      <protection/>
    </xf>
    <xf numFmtId="164" fontId="31" fillId="5" borderId="10" xfId="177" applyFont="1" applyFill="1" applyBorder="1" applyAlignment="1">
      <alignment vertical="center"/>
      <protection/>
    </xf>
    <xf numFmtId="164" fontId="0" fillId="5" borderId="10" xfId="177" applyFill="1" applyBorder="1">
      <alignment/>
      <protection/>
    </xf>
    <xf numFmtId="164" fontId="32" fillId="6" borderId="1" xfId="177" applyFont="1" applyFill="1" applyBorder="1" applyAlignment="1">
      <alignment horizontal="center" vertical="top" wrapText="1"/>
      <protection/>
    </xf>
    <xf numFmtId="164" fontId="33" fillId="6" borderId="1" xfId="177" applyFont="1" applyFill="1" applyBorder="1" applyAlignment="1">
      <alignment horizontal="center" vertical="top" wrapText="1"/>
      <protection/>
    </xf>
    <xf numFmtId="164" fontId="34" fillId="3" borderId="1" xfId="177" applyFont="1" applyFill="1" applyBorder="1" applyAlignment="1">
      <alignment horizontal="left" vertical="top" wrapText="1"/>
      <protection/>
    </xf>
    <xf numFmtId="170" fontId="34" fillId="3" borderId="1" xfId="177" applyNumberFormat="1" applyFont="1" applyFill="1" applyBorder="1" applyAlignment="1">
      <alignment horizontal="center" vertical="top" wrapText="1"/>
      <protection/>
    </xf>
    <xf numFmtId="164" fontId="0" fillId="0" borderId="3" xfId="177" applyBorder="1">
      <alignment/>
      <protection/>
    </xf>
    <xf numFmtId="164" fontId="0" fillId="0" borderId="6" xfId="177" applyBorder="1">
      <alignment/>
      <protection/>
    </xf>
    <xf numFmtId="164" fontId="0" fillId="0" borderId="7" xfId="177" applyBorder="1">
      <alignment/>
      <protection/>
    </xf>
    <xf numFmtId="164" fontId="0" fillId="0" borderId="4" xfId="177" applyBorder="1">
      <alignment/>
      <protection/>
    </xf>
    <xf numFmtId="164" fontId="0" fillId="0" borderId="0" xfId="177" applyBorder="1">
      <alignment/>
      <protection/>
    </xf>
    <xf numFmtId="164" fontId="0" fillId="0" borderId="5" xfId="177" applyBorder="1">
      <alignment/>
      <protection/>
    </xf>
    <xf numFmtId="164" fontId="0" fillId="0" borderId="8" xfId="177" applyBorder="1">
      <alignment/>
      <protection/>
    </xf>
    <xf numFmtId="164" fontId="0" fillId="0" borderId="9" xfId="177" applyBorder="1">
      <alignment/>
      <protection/>
    </xf>
    <xf numFmtId="164" fontId="0" fillId="0" borderId="10" xfId="177" applyBorder="1">
      <alignment/>
      <protection/>
    </xf>
    <xf numFmtId="164" fontId="35" fillId="0" borderId="4" xfId="177" applyFont="1" applyBorder="1" applyAlignment="1">
      <alignment horizontal="center" vertical="center"/>
      <protection/>
    </xf>
    <xf numFmtId="164" fontId="35" fillId="0" borderId="9" xfId="177" applyFont="1" applyBorder="1" applyAlignment="1">
      <alignment horizontal="right" vertical="center"/>
      <protection/>
    </xf>
    <xf numFmtId="171" fontId="35" fillId="0" borderId="9" xfId="414" applyNumberFormat="1" applyFont="1" applyFill="1" applyBorder="1" applyAlignment="1" applyProtection="1">
      <alignment horizontal="left" vertical="center"/>
      <protection/>
    </xf>
    <xf numFmtId="164" fontId="35" fillId="0" borderId="9" xfId="177" applyFont="1" applyBorder="1" applyAlignment="1">
      <alignment vertical="center"/>
      <protection/>
    </xf>
    <xf numFmtId="171" fontId="35" fillId="0" borderId="9" xfId="414" applyNumberFormat="1" applyFont="1" applyFill="1" applyBorder="1" applyAlignment="1" applyProtection="1">
      <alignment vertical="center"/>
      <protection/>
    </xf>
    <xf numFmtId="164" fontId="35" fillId="0" borderId="9" xfId="177" applyFont="1" applyBorder="1" applyAlignment="1">
      <alignment horizontal="center" vertical="center"/>
      <protection/>
    </xf>
    <xf numFmtId="172" fontId="35" fillId="0" borderId="9" xfId="414" applyNumberFormat="1" applyFont="1" applyFill="1" applyBorder="1" applyAlignment="1" applyProtection="1">
      <alignment horizontal="center" vertical="center"/>
      <protection/>
    </xf>
    <xf numFmtId="164" fontId="35" fillId="0" borderId="5" xfId="177" applyFont="1" applyBorder="1" applyAlignment="1">
      <alignment horizontal="center" vertical="center"/>
      <protection/>
    </xf>
    <xf numFmtId="164" fontId="35" fillId="0" borderId="0" xfId="177" applyFont="1" applyBorder="1" applyAlignment="1">
      <alignment vertical="center"/>
      <protection/>
    </xf>
    <xf numFmtId="164" fontId="35" fillId="0" borderId="6" xfId="177" applyFont="1" applyBorder="1" applyAlignment="1">
      <alignment horizontal="right" vertical="center"/>
      <protection/>
    </xf>
    <xf numFmtId="164" fontId="35" fillId="0" borderId="6" xfId="177" applyFont="1" applyBorder="1" applyAlignment="1">
      <alignment vertical="center"/>
      <protection/>
    </xf>
    <xf numFmtId="171" fontId="35" fillId="0" borderId="6" xfId="414" applyNumberFormat="1" applyFont="1" applyFill="1" applyBorder="1" applyAlignment="1" applyProtection="1">
      <alignment vertical="center"/>
      <protection/>
    </xf>
    <xf numFmtId="171" fontId="35" fillId="0" borderId="6" xfId="414" applyNumberFormat="1" applyFont="1" applyFill="1" applyBorder="1" applyAlignment="1" applyProtection="1">
      <alignment horizontal="center" vertical="center"/>
      <protection/>
    </xf>
    <xf numFmtId="173" fontId="35" fillId="0" borderId="6" xfId="414" applyNumberFormat="1" applyFont="1" applyFill="1" applyBorder="1" applyAlignment="1" applyProtection="1">
      <alignment horizontal="left" vertical="center"/>
      <protection/>
    </xf>
    <xf numFmtId="164" fontId="36" fillId="0" borderId="4" xfId="177" applyFont="1" applyBorder="1">
      <alignment/>
      <protection/>
    </xf>
    <xf numFmtId="164" fontId="36" fillId="0" borderId="0" xfId="177" applyFont="1" applyBorder="1">
      <alignment/>
      <protection/>
    </xf>
    <xf numFmtId="164" fontId="36" fillId="0" borderId="5" xfId="177" applyFont="1" applyBorder="1">
      <alignment/>
      <protection/>
    </xf>
    <xf numFmtId="164" fontId="37" fillId="0" borderId="4" xfId="177" applyFont="1" applyBorder="1" applyAlignment="1">
      <alignment horizontal="center" vertical="center"/>
      <protection/>
    </xf>
    <xf numFmtId="170" fontId="37" fillId="0" borderId="0" xfId="269" applyNumberFormat="1" applyFont="1" applyFill="1" applyBorder="1" applyAlignment="1" applyProtection="1">
      <alignment horizontal="center" vertical="center"/>
      <protection/>
    </xf>
    <xf numFmtId="164" fontId="38" fillId="0" borderId="0" xfId="177" applyFont="1" applyBorder="1">
      <alignment/>
      <protection/>
    </xf>
    <xf numFmtId="164" fontId="38" fillId="0" borderId="5" xfId="177" applyFont="1" applyBorder="1">
      <alignment/>
      <protection/>
    </xf>
    <xf numFmtId="164" fontId="1" fillId="0" borderId="0" xfId="22" applyFont="1" applyFill="1" applyBorder="1" applyAlignment="1">
      <alignment vertical="center"/>
      <protection/>
    </xf>
    <xf numFmtId="164" fontId="8" fillId="3" borderId="1" xfId="21" applyNumberFormat="1" applyFont="1" applyFill="1" applyBorder="1" applyAlignment="1">
      <alignment horizontal="center" vertical="center" wrapText="1"/>
      <protection/>
    </xf>
    <xf numFmtId="164" fontId="12" fillId="0" borderId="1" xfId="0" applyFont="1" applyFill="1" applyBorder="1" applyAlignment="1">
      <alignment horizontal="left" vertical="center"/>
    </xf>
    <xf numFmtId="165" fontId="14" fillId="0" borderId="1" xfId="17" applyFont="1" applyFill="1" applyBorder="1" applyAlignment="1" applyProtection="1">
      <alignment horizontal="center" vertical="center"/>
      <protection/>
    </xf>
    <xf numFmtId="164" fontId="12" fillId="3" borderId="1" xfId="0" applyFont="1" applyFill="1" applyBorder="1" applyAlignment="1">
      <alignment horizontal="left" vertical="center"/>
    </xf>
    <xf numFmtId="165" fontId="14" fillId="0" borderId="1" xfId="17" applyFont="1" applyFill="1" applyBorder="1" applyAlignment="1" applyProtection="1">
      <alignment horizontal="center" vertical="center" wrapText="1"/>
      <protection/>
    </xf>
    <xf numFmtId="164" fontId="12" fillId="3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horizontal="center"/>
    </xf>
  </cellXfs>
  <cellStyles count="40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Normal 2 10" xfId="22"/>
    <cellStyle name="Normal 2 11" xfId="23"/>
    <cellStyle name="Normal 2 12" xfId="24"/>
    <cellStyle name="Normal 2 13" xfId="25"/>
    <cellStyle name="Normal 2 14" xfId="26"/>
    <cellStyle name="Normal 2 15" xfId="27"/>
    <cellStyle name="Normal 2 16" xfId="28"/>
    <cellStyle name="Normal 2 17" xfId="29"/>
    <cellStyle name="Normal 2 18" xfId="30"/>
    <cellStyle name="Normal 2 19" xfId="31"/>
    <cellStyle name="Normal 2 2" xfId="32"/>
    <cellStyle name="Normal 2 2 10" xfId="33"/>
    <cellStyle name="Normal 2 2 11" xfId="34"/>
    <cellStyle name="Normal 2 2 12" xfId="35"/>
    <cellStyle name="Normal 2 2 13" xfId="36"/>
    <cellStyle name="Normal 2 2 14" xfId="37"/>
    <cellStyle name="Normal 2 2 15" xfId="38"/>
    <cellStyle name="Normal 2 2 16" xfId="39"/>
    <cellStyle name="Normal 2 2 17" xfId="40"/>
    <cellStyle name="Normal 2 2 18" xfId="41"/>
    <cellStyle name="Normal 2 2 19" xfId="42"/>
    <cellStyle name="Normal 2 2 2" xfId="43"/>
    <cellStyle name="Normal 2 2 20" xfId="44"/>
    <cellStyle name="Normal 2 2 3" xfId="45"/>
    <cellStyle name="Normal 2 2 4" xfId="46"/>
    <cellStyle name="Normal 2 2 5" xfId="47"/>
    <cellStyle name="Normal 2 2 6" xfId="48"/>
    <cellStyle name="Normal 2 2 7" xfId="49"/>
    <cellStyle name="Normal 2 2 8" xfId="50"/>
    <cellStyle name="Normal 2 2 9" xfId="51"/>
    <cellStyle name="Normal 2 20" xfId="52"/>
    <cellStyle name="Normal 2 21" xfId="53"/>
    <cellStyle name="Normal 2 22" xfId="54"/>
    <cellStyle name="Normal 2 23" xfId="55"/>
    <cellStyle name="Normal 2 24" xfId="56"/>
    <cellStyle name="Normal 2 25" xfId="57"/>
    <cellStyle name="Normal 2 26" xfId="58"/>
    <cellStyle name="Normal 2 27" xfId="59"/>
    <cellStyle name="Normal 2 3" xfId="60"/>
    <cellStyle name="Normal 2 3 10" xfId="61"/>
    <cellStyle name="Normal 2 3 11" xfId="62"/>
    <cellStyle name="Normal 2 3 12" xfId="63"/>
    <cellStyle name="Normal 2 3 13" xfId="64"/>
    <cellStyle name="Normal 2 3 14" xfId="65"/>
    <cellStyle name="Normal 2 3 15" xfId="66"/>
    <cellStyle name="Normal 2 3 16" xfId="67"/>
    <cellStyle name="Normal 2 3 17" xfId="68"/>
    <cellStyle name="Normal 2 3 18" xfId="69"/>
    <cellStyle name="Normal 2 3 19" xfId="70"/>
    <cellStyle name="Normal 2 3 2" xfId="71"/>
    <cellStyle name="Normal 2 3 20" xfId="72"/>
    <cellStyle name="Normal 2 3 3" xfId="73"/>
    <cellStyle name="Normal 2 3 4" xfId="74"/>
    <cellStyle name="Normal 2 3 5" xfId="75"/>
    <cellStyle name="Normal 2 3 6" xfId="76"/>
    <cellStyle name="Normal 2 3 7" xfId="77"/>
    <cellStyle name="Normal 2 3 8" xfId="78"/>
    <cellStyle name="Normal 2 3 9" xfId="79"/>
    <cellStyle name="Normal 2 4" xfId="80"/>
    <cellStyle name="Normal 2 4 10" xfId="81"/>
    <cellStyle name="Normal 2 4 11" xfId="82"/>
    <cellStyle name="Normal 2 4 12" xfId="83"/>
    <cellStyle name="Normal 2 4 13" xfId="84"/>
    <cellStyle name="Normal 2 4 14" xfId="85"/>
    <cellStyle name="Normal 2 4 15" xfId="86"/>
    <cellStyle name="Normal 2 4 16" xfId="87"/>
    <cellStyle name="Normal 2 4 17" xfId="88"/>
    <cellStyle name="Normal 2 4 18" xfId="89"/>
    <cellStyle name="Normal 2 4 19" xfId="90"/>
    <cellStyle name="Normal 2 4 2" xfId="91"/>
    <cellStyle name="Normal 2 4 20" xfId="92"/>
    <cellStyle name="Normal 2 4 3" xfId="93"/>
    <cellStyle name="Normal 2 4 4" xfId="94"/>
    <cellStyle name="Normal 2 4 5" xfId="95"/>
    <cellStyle name="Normal 2 4 6" xfId="96"/>
    <cellStyle name="Normal 2 4 7" xfId="97"/>
    <cellStyle name="Normal 2 4 8" xfId="98"/>
    <cellStyle name="Normal 2 4 9" xfId="99"/>
    <cellStyle name="Normal 2 5" xfId="100"/>
    <cellStyle name="Normal 2 5 10" xfId="101"/>
    <cellStyle name="Normal 2 5 11" xfId="102"/>
    <cellStyle name="Normal 2 5 12" xfId="103"/>
    <cellStyle name="Normal 2 5 13" xfId="104"/>
    <cellStyle name="Normal 2 5 14" xfId="105"/>
    <cellStyle name="Normal 2 5 15" xfId="106"/>
    <cellStyle name="Normal 2 5 16" xfId="107"/>
    <cellStyle name="Normal 2 5 17" xfId="108"/>
    <cellStyle name="Normal 2 5 18" xfId="109"/>
    <cellStyle name="Normal 2 5 19" xfId="110"/>
    <cellStyle name="Normal 2 5 2" xfId="111"/>
    <cellStyle name="Normal 2 5 20" xfId="112"/>
    <cellStyle name="Normal 2 5 3" xfId="113"/>
    <cellStyle name="Normal 2 5 4" xfId="114"/>
    <cellStyle name="Normal 2 5 5" xfId="115"/>
    <cellStyle name="Normal 2 5 6" xfId="116"/>
    <cellStyle name="Normal 2 5 7" xfId="117"/>
    <cellStyle name="Normal 2 5 8" xfId="118"/>
    <cellStyle name="Normal 2 5 9" xfId="119"/>
    <cellStyle name="Normal 2 6" xfId="120"/>
    <cellStyle name="Normal 2 6 10" xfId="121"/>
    <cellStyle name="Normal 2 6 11" xfId="122"/>
    <cellStyle name="Normal 2 6 12" xfId="123"/>
    <cellStyle name="Normal 2 6 13" xfId="124"/>
    <cellStyle name="Normal 2 6 14" xfId="125"/>
    <cellStyle name="Normal 2 6 15" xfId="126"/>
    <cellStyle name="Normal 2 6 16" xfId="127"/>
    <cellStyle name="Normal 2 6 17" xfId="128"/>
    <cellStyle name="Normal 2 6 18" xfId="129"/>
    <cellStyle name="Normal 2 6 19" xfId="130"/>
    <cellStyle name="Normal 2 6 2" xfId="131"/>
    <cellStyle name="Normal 2 6 20" xfId="132"/>
    <cellStyle name="Normal 2 6 3" xfId="133"/>
    <cellStyle name="Normal 2 6 4" xfId="134"/>
    <cellStyle name="Normal 2 6 5" xfId="135"/>
    <cellStyle name="Normal 2 6 6" xfId="136"/>
    <cellStyle name="Normal 2 6 7" xfId="137"/>
    <cellStyle name="Normal 2 6 8" xfId="138"/>
    <cellStyle name="Normal 2 6 9" xfId="139"/>
    <cellStyle name="Normal 2 7" xfId="140"/>
    <cellStyle name="Normal 2 7 10" xfId="141"/>
    <cellStyle name="Normal 2 7 11" xfId="142"/>
    <cellStyle name="Normal 2 7 12" xfId="143"/>
    <cellStyle name="Normal 2 7 13" xfId="144"/>
    <cellStyle name="Normal 2 7 14" xfId="145"/>
    <cellStyle name="Normal 2 7 15" xfId="146"/>
    <cellStyle name="Normal 2 7 16" xfId="147"/>
    <cellStyle name="Normal 2 7 17" xfId="148"/>
    <cellStyle name="Normal 2 7 18" xfId="149"/>
    <cellStyle name="Normal 2 7 19" xfId="150"/>
    <cellStyle name="Normal 2 7 2" xfId="151"/>
    <cellStyle name="Normal 2 7 20" xfId="152"/>
    <cellStyle name="Normal 2 7 3" xfId="153"/>
    <cellStyle name="Normal 2 7 4" xfId="154"/>
    <cellStyle name="Normal 2 7 5" xfId="155"/>
    <cellStyle name="Normal 2 7 6" xfId="156"/>
    <cellStyle name="Normal 2 7 7" xfId="157"/>
    <cellStyle name="Normal 2 7 8" xfId="158"/>
    <cellStyle name="Normal 2 7 9" xfId="159"/>
    <cellStyle name="Normal 2 8" xfId="160"/>
    <cellStyle name="Normal 2 9" xfId="161"/>
    <cellStyle name="Normal 2_Planilha Valença" xfId="162"/>
    <cellStyle name="Normal 2_Planilha Valença 2" xfId="163"/>
    <cellStyle name="Normal 3" xfId="164"/>
    <cellStyle name="Normal 3 10" xfId="165"/>
    <cellStyle name="Normal 3 11" xfId="166"/>
    <cellStyle name="Normal 3 12" xfId="167"/>
    <cellStyle name="Normal 3 13" xfId="168"/>
    <cellStyle name="Normal 3 14" xfId="169"/>
    <cellStyle name="Normal 3 15" xfId="170"/>
    <cellStyle name="Normal 3 16" xfId="171"/>
    <cellStyle name="Normal 3 17" xfId="172"/>
    <cellStyle name="Normal 3 18" xfId="173"/>
    <cellStyle name="Normal 3 19" xfId="174"/>
    <cellStyle name="Normal 3 2" xfId="175"/>
    <cellStyle name="Normal 3 20" xfId="176"/>
    <cellStyle name="Normal 3 21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3" xfId="198"/>
    <cellStyle name="Normal 4 4" xfId="199"/>
    <cellStyle name="Normal 4 5" xfId="200"/>
    <cellStyle name="Normal 4 6" xfId="201"/>
    <cellStyle name="Normal 4 7" xfId="202"/>
    <cellStyle name="Normal 4 8" xfId="203"/>
    <cellStyle name="Normal 4 9" xfId="204"/>
    <cellStyle name="Normal 5" xfId="205"/>
    <cellStyle name="Normal 5 10" xfId="206"/>
    <cellStyle name="Normal 5 11" xfId="207"/>
    <cellStyle name="Normal 5 12" xfId="208"/>
    <cellStyle name="Normal 5 13" xfId="209"/>
    <cellStyle name="Normal 5 14" xfId="210"/>
    <cellStyle name="Normal 5 15" xfId="211"/>
    <cellStyle name="Normal 5 16" xfId="212"/>
    <cellStyle name="Normal 5 17" xfId="213"/>
    <cellStyle name="Normal 5 18" xfId="214"/>
    <cellStyle name="Normal 5 19" xfId="215"/>
    <cellStyle name="Normal 5 2" xfId="216"/>
    <cellStyle name="Normal 5 20" xfId="217"/>
    <cellStyle name="Normal 5 3" xfId="218"/>
    <cellStyle name="Normal 5 4" xfId="219"/>
    <cellStyle name="Normal 5 5" xfId="220"/>
    <cellStyle name="Normal 5 6" xfId="221"/>
    <cellStyle name="Normal 5 7" xfId="222"/>
    <cellStyle name="Normal 5 8" xfId="223"/>
    <cellStyle name="Normal 5 9" xfId="224"/>
    <cellStyle name="Normal 6" xfId="225"/>
    <cellStyle name="Normal 6 10" xfId="226"/>
    <cellStyle name="Normal 6 11" xfId="227"/>
    <cellStyle name="Normal 6 12" xfId="228"/>
    <cellStyle name="Normal 6 13" xfId="229"/>
    <cellStyle name="Normal 6 14" xfId="230"/>
    <cellStyle name="Normal 6 15" xfId="231"/>
    <cellStyle name="Normal 6 16" xfId="232"/>
    <cellStyle name="Normal 6 17" xfId="233"/>
    <cellStyle name="Normal 6 18" xfId="234"/>
    <cellStyle name="Normal 6 19" xfId="235"/>
    <cellStyle name="Normal 6 2" xfId="236"/>
    <cellStyle name="Normal 6 20" xfId="237"/>
    <cellStyle name="Normal 6 3" xfId="238"/>
    <cellStyle name="Normal 6 4" xfId="239"/>
    <cellStyle name="Normal 6 5" xfId="240"/>
    <cellStyle name="Normal 6 6" xfId="241"/>
    <cellStyle name="Normal 6 7" xfId="242"/>
    <cellStyle name="Normal 6 8" xfId="243"/>
    <cellStyle name="Normal 6 9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19" xfId="255"/>
    <cellStyle name="Normal 7 2" xfId="256"/>
    <cellStyle name="Normal 7 20" xfId="257"/>
    <cellStyle name="Normal 7 3" xfId="258"/>
    <cellStyle name="Normal 7 4" xfId="259"/>
    <cellStyle name="Normal 7 5" xfId="260"/>
    <cellStyle name="Normal 7 6" xfId="261"/>
    <cellStyle name="Normal 7 7" xfId="262"/>
    <cellStyle name="Normal 7 8" xfId="263"/>
    <cellStyle name="Normal 7 9" xfId="264"/>
    <cellStyle name="Normal 8" xfId="265"/>
    <cellStyle name="Normal 9" xfId="266"/>
    <cellStyle name="Normal_ORÇAMENTO-HAB" xfId="267"/>
    <cellStyle name="Porcentagem 2" xfId="268"/>
    <cellStyle name="Porcentagem 2 2" xfId="269"/>
    <cellStyle name="Porcentagem 2 3" xfId="270"/>
    <cellStyle name="Separador de milhares 10" xfId="271"/>
    <cellStyle name="Separador de milhares 11" xfId="272"/>
    <cellStyle name="Separador de milhares 12" xfId="273"/>
    <cellStyle name="Separador de milhares 13" xfId="274"/>
    <cellStyle name="Separador de milhares 14" xfId="275"/>
    <cellStyle name="Separador de milhares 15" xfId="276"/>
    <cellStyle name="Separador de milhares 16" xfId="277"/>
    <cellStyle name="Separador de milhares 17" xfId="278"/>
    <cellStyle name="Separador de milhares 18" xfId="279"/>
    <cellStyle name="Separador de milhares 19" xfId="280"/>
    <cellStyle name="Separador de milhares 2" xfId="281"/>
    <cellStyle name="Separador de milhares 2 10" xfId="282"/>
    <cellStyle name="Separador de milhares 2 11" xfId="283"/>
    <cellStyle name="Separador de milhares 2 12" xfId="284"/>
    <cellStyle name="Separador de milhares 2 13" xfId="285"/>
    <cellStyle name="Separador de milhares 2 14" xfId="286"/>
    <cellStyle name="Separador de milhares 2 15" xfId="287"/>
    <cellStyle name="Separador de milhares 2 16" xfId="288"/>
    <cellStyle name="Separador de milhares 2 17" xfId="289"/>
    <cellStyle name="Separador de milhares 2 18" xfId="290"/>
    <cellStyle name="Separador de milhares 2 19" xfId="291"/>
    <cellStyle name="Separador de milhares 2 2" xfId="292"/>
    <cellStyle name="Separador de milhares 2 20" xfId="293"/>
    <cellStyle name="Separador de milhares 2 21" xfId="294"/>
    <cellStyle name="Separador de milhares 2 3" xfId="295"/>
    <cellStyle name="Separador de milhares 2 4" xfId="296"/>
    <cellStyle name="Separador de milhares 2 5" xfId="297"/>
    <cellStyle name="Separador de milhares 2 6" xfId="298"/>
    <cellStyle name="Separador de milhares 2 7" xfId="299"/>
    <cellStyle name="Separador de milhares 2 8" xfId="300"/>
    <cellStyle name="Separador de milhares 2 9" xfId="301"/>
    <cellStyle name="Separador de milhares 20" xfId="302"/>
    <cellStyle name="Separador de milhares 21" xfId="303"/>
    <cellStyle name="Separador de milhares 22" xfId="304"/>
    <cellStyle name="Separador de milhares 23" xfId="305"/>
    <cellStyle name="Separador de milhares 24" xfId="306"/>
    <cellStyle name="Separador de milhares 25" xfId="307"/>
    <cellStyle name="Separador de milhares 26" xfId="308"/>
    <cellStyle name="Separador de milhares 27" xfId="309"/>
    <cellStyle name="Separador de milhares 28" xfId="310"/>
    <cellStyle name="Separador de milhares 29" xfId="311"/>
    <cellStyle name="Separador de milhares 3" xfId="312"/>
    <cellStyle name="Separador de milhares 3 10" xfId="313"/>
    <cellStyle name="Separador de milhares 3 11" xfId="314"/>
    <cellStyle name="Separador de milhares 3 12" xfId="315"/>
    <cellStyle name="Separador de milhares 3 13" xfId="316"/>
    <cellStyle name="Separador de milhares 3 14" xfId="317"/>
    <cellStyle name="Separador de milhares 3 15" xfId="318"/>
    <cellStyle name="Separador de milhares 3 16" xfId="319"/>
    <cellStyle name="Separador de milhares 3 17" xfId="320"/>
    <cellStyle name="Separador de milhares 3 18" xfId="321"/>
    <cellStyle name="Separador de milhares 3 19" xfId="322"/>
    <cellStyle name="Separador de milhares 3 2" xfId="323"/>
    <cellStyle name="Separador de milhares 3 20" xfId="324"/>
    <cellStyle name="Separador de milhares 3 3" xfId="325"/>
    <cellStyle name="Separador de milhares 3 4" xfId="326"/>
    <cellStyle name="Separador de milhares 3 5" xfId="327"/>
    <cellStyle name="Separador de milhares 3 6" xfId="328"/>
    <cellStyle name="Separador de milhares 3 7" xfId="329"/>
    <cellStyle name="Separador de milhares 3 8" xfId="330"/>
    <cellStyle name="Separador de milhares 3 9" xfId="331"/>
    <cellStyle name="Separador de milhares 4" xfId="332"/>
    <cellStyle name="Separador de milhares 4 10" xfId="333"/>
    <cellStyle name="Separador de milhares 4 11" xfId="334"/>
    <cellStyle name="Separador de milhares 4 12" xfId="335"/>
    <cellStyle name="Separador de milhares 4 13" xfId="336"/>
    <cellStyle name="Separador de milhares 4 14" xfId="337"/>
    <cellStyle name="Separador de milhares 4 15" xfId="338"/>
    <cellStyle name="Separador de milhares 4 16" xfId="339"/>
    <cellStyle name="Separador de milhares 4 17" xfId="340"/>
    <cellStyle name="Separador de milhares 4 18" xfId="341"/>
    <cellStyle name="Separador de milhares 4 19" xfId="342"/>
    <cellStyle name="Separador de milhares 4 2" xfId="343"/>
    <cellStyle name="Separador de milhares 4 20" xfId="344"/>
    <cellStyle name="Separador de milhares 4 3" xfId="345"/>
    <cellStyle name="Separador de milhares 4 4" xfId="346"/>
    <cellStyle name="Separador de milhares 4 5" xfId="347"/>
    <cellStyle name="Separador de milhares 4 6" xfId="348"/>
    <cellStyle name="Separador de milhares 4 7" xfId="349"/>
    <cellStyle name="Separador de milhares 4 8" xfId="350"/>
    <cellStyle name="Separador de milhares 4 9" xfId="351"/>
    <cellStyle name="Separador de milhares 5" xfId="352"/>
    <cellStyle name="Separador de milhares 5 10" xfId="353"/>
    <cellStyle name="Separador de milhares 5 11" xfId="354"/>
    <cellStyle name="Separador de milhares 5 12" xfId="355"/>
    <cellStyle name="Separador de milhares 5 13" xfId="356"/>
    <cellStyle name="Separador de milhares 5 14" xfId="357"/>
    <cellStyle name="Separador de milhares 5 15" xfId="358"/>
    <cellStyle name="Separador de milhares 5 16" xfId="359"/>
    <cellStyle name="Separador de milhares 5 17" xfId="360"/>
    <cellStyle name="Separador de milhares 5 18" xfId="361"/>
    <cellStyle name="Separador de milhares 5 19" xfId="362"/>
    <cellStyle name="Separador de milhares 5 2" xfId="363"/>
    <cellStyle name="Separador de milhares 5 20" xfId="364"/>
    <cellStyle name="Separador de milhares 5 3" xfId="365"/>
    <cellStyle name="Separador de milhares 5 4" xfId="366"/>
    <cellStyle name="Separador de milhares 5 5" xfId="367"/>
    <cellStyle name="Separador de milhares 5 6" xfId="368"/>
    <cellStyle name="Separador de milhares 5 7" xfId="369"/>
    <cellStyle name="Separador de milhares 5 8" xfId="370"/>
    <cellStyle name="Separador de milhares 5 9" xfId="371"/>
    <cellStyle name="Separador de milhares 6" xfId="372"/>
    <cellStyle name="Separador de milhares 6 10" xfId="373"/>
    <cellStyle name="Separador de milhares 6 11" xfId="374"/>
    <cellStyle name="Separador de milhares 6 12" xfId="375"/>
    <cellStyle name="Separador de milhares 6 13" xfId="376"/>
    <cellStyle name="Separador de milhares 6 14" xfId="377"/>
    <cellStyle name="Separador de milhares 6 15" xfId="378"/>
    <cellStyle name="Separador de milhares 6 16" xfId="379"/>
    <cellStyle name="Separador de milhares 6 17" xfId="380"/>
    <cellStyle name="Separador de milhares 6 18" xfId="381"/>
    <cellStyle name="Separador de milhares 6 19" xfId="382"/>
    <cellStyle name="Separador de milhares 6 2" xfId="383"/>
    <cellStyle name="Separador de milhares 6 20" xfId="384"/>
    <cellStyle name="Separador de milhares 6 3" xfId="385"/>
    <cellStyle name="Separador de milhares 6 4" xfId="386"/>
    <cellStyle name="Separador de milhares 6 5" xfId="387"/>
    <cellStyle name="Separador de milhares 6 6" xfId="388"/>
    <cellStyle name="Separador de milhares 6 7" xfId="389"/>
    <cellStyle name="Separador de milhares 6 8" xfId="390"/>
    <cellStyle name="Separador de milhares 6 9" xfId="391"/>
    <cellStyle name="Separador de milhares 7" xfId="392"/>
    <cellStyle name="Separador de milhares 7 10" xfId="393"/>
    <cellStyle name="Separador de milhares 7 11" xfId="394"/>
    <cellStyle name="Separador de milhares 7 12" xfId="395"/>
    <cellStyle name="Separador de milhares 7 13" xfId="396"/>
    <cellStyle name="Separador de milhares 7 14" xfId="397"/>
    <cellStyle name="Separador de milhares 7 15" xfId="398"/>
    <cellStyle name="Separador de milhares 7 16" xfId="399"/>
    <cellStyle name="Separador de milhares 7 17" xfId="400"/>
    <cellStyle name="Separador de milhares 7 18" xfId="401"/>
    <cellStyle name="Separador de milhares 7 19" xfId="402"/>
    <cellStyle name="Separador de milhares 7 2" xfId="403"/>
    <cellStyle name="Separador de milhares 7 20" xfId="404"/>
    <cellStyle name="Separador de milhares 7 3" xfId="405"/>
    <cellStyle name="Separador de milhares 7 4" xfId="406"/>
    <cellStyle name="Separador de milhares 7 5" xfId="407"/>
    <cellStyle name="Separador de milhares 7 6" xfId="408"/>
    <cellStyle name="Separador de milhares 7 7" xfId="409"/>
    <cellStyle name="Separador de milhares 7 8" xfId="410"/>
    <cellStyle name="Separador de milhares 7 9" xfId="411"/>
    <cellStyle name="Separador de milhares 8" xfId="412"/>
    <cellStyle name="Separador de milhares 9" xfId="413"/>
    <cellStyle name="Separador de milhares 9 2" xfId="414"/>
    <cellStyle name="Vírgula 2" xfId="4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0</xdr:rowOff>
    </xdr:from>
    <xdr:to>
      <xdr:col>3</xdr:col>
      <xdr:colOff>752475</xdr:colOff>
      <xdr:row>6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457450" y="0"/>
          <a:ext cx="2695575" cy="1428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6800" rIns="45720" bIns="4680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1895475</xdr:colOff>
      <xdr:row>6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2887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5</xdr:row>
      <xdr:rowOff>85725</xdr:rowOff>
    </xdr:from>
    <xdr:to>
      <xdr:col>5</xdr:col>
      <xdr:colOff>857250</xdr:colOff>
      <xdr:row>5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410325" y="1228725"/>
          <a:ext cx="38100" cy="4762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1685925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57175"/>
          <a:ext cx="20669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</xdr:row>
      <xdr:rowOff>47625</xdr:rowOff>
    </xdr:from>
    <xdr:to>
      <xdr:col>11</xdr:col>
      <xdr:colOff>19050</xdr:colOff>
      <xdr:row>29</xdr:row>
      <xdr:rowOff>133350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23" t="-5351" r="-2590" b="-7740"/>
        <a:stretch>
          <a:fillRect/>
        </a:stretch>
      </xdr:blipFill>
      <xdr:spPr>
        <a:xfrm>
          <a:off x="609600" y="4619625"/>
          <a:ext cx="43719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2</xdr:col>
      <xdr:colOff>600075</xdr:colOff>
      <xdr:row>2</xdr:row>
      <xdr:rowOff>381000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876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0</xdr:rowOff>
    </xdr:from>
    <xdr:to>
      <xdr:col>3</xdr:col>
      <xdr:colOff>238125</xdr:colOff>
      <xdr:row>4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457450" y="0"/>
          <a:ext cx="2228850" cy="9715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6800" rIns="45720" bIns="468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1104900</xdr:colOff>
      <xdr:row>4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628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SheetLayoutView="100" workbookViewId="0" topLeftCell="A146">
      <selection activeCell="F152" sqref="F152"/>
    </sheetView>
  </sheetViews>
  <sheetFormatPr defaultColWidth="9.140625" defaultRowHeight="18" customHeight="1"/>
  <cols>
    <col min="1" max="1" width="8.28125" style="1" customWidth="1"/>
    <col min="2" max="2" width="49.140625" style="2" customWidth="1"/>
    <col min="3" max="3" width="8.57421875" style="2" customWidth="1"/>
    <col min="4" max="4" width="11.421875" style="3" customWidth="1"/>
    <col min="5" max="5" width="6.7109375" style="4" customWidth="1"/>
    <col min="6" max="6" width="9.28125" style="5" customWidth="1"/>
    <col min="7" max="7" width="14.421875" style="6" customWidth="1"/>
    <col min="8" max="8" width="23.57421875" style="6" customWidth="1"/>
    <col min="9" max="9" width="22.00390625" style="2" customWidth="1"/>
    <col min="10" max="10" width="0" style="2" hidden="1" customWidth="1"/>
    <col min="11" max="11" width="17.7109375" style="2" customWidth="1"/>
    <col min="12" max="16384" width="9.140625" style="2" customWidth="1"/>
  </cols>
  <sheetData>
    <row r="1" spans="1:10" ht="18" customHeight="1">
      <c r="A1" s="7"/>
      <c r="B1" s="7"/>
      <c r="C1" s="7"/>
      <c r="D1" s="7"/>
      <c r="E1" s="8" t="s">
        <v>0</v>
      </c>
      <c r="F1" s="8"/>
      <c r="G1" s="8"/>
      <c r="H1" s="8"/>
      <c r="I1" s="8"/>
      <c r="J1" s="8"/>
    </row>
    <row r="2" spans="1:10" ht="18" customHeight="1">
      <c r="A2" s="7"/>
      <c r="B2" s="7"/>
      <c r="C2" s="7"/>
      <c r="D2" s="7"/>
      <c r="E2" s="8"/>
      <c r="F2" s="8"/>
      <c r="G2" s="8"/>
      <c r="H2" s="8"/>
      <c r="I2" s="8"/>
      <c r="J2" s="8"/>
    </row>
    <row r="3" spans="1:10" ht="18" customHeight="1">
      <c r="A3" s="7"/>
      <c r="B3" s="7"/>
      <c r="C3" s="7"/>
      <c r="D3" s="7"/>
      <c r="E3" s="9" t="s">
        <v>1</v>
      </c>
      <c r="F3" s="9"/>
      <c r="G3" s="9"/>
      <c r="H3" s="9"/>
      <c r="I3" s="9"/>
      <c r="J3" s="9"/>
    </row>
    <row r="4" spans="1:10" ht="18" customHeight="1">
      <c r="A4" s="7"/>
      <c r="B4" s="7"/>
      <c r="C4" s="7"/>
      <c r="D4" s="7"/>
      <c r="E4" s="9"/>
      <c r="F4" s="9"/>
      <c r="G4" s="9"/>
      <c r="H4" s="9"/>
      <c r="I4" s="9"/>
      <c r="J4" s="9"/>
    </row>
    <row r="5" spans="1:10" ht="18" customHeight="1">
      <c r="A5" s="7"/>
      <c r="B5" s="7"/>
      <c r="C5" s="7"/>
      <c r="D5" s="7"/>
      <c r="E5" s="10" t="s">
        <v>2</v>
      </c>
      <c r="F5" s="10"/>
      <c r="G5" s="10"/>
      <c r="H5" s="10"/>
      <c r="I5" s="10"/>
      <c r="J5" s="10"/>
    </row>
    <row r="6" spans="1:10" ht="18" customHeight="1">
      <c r="A6" s="7"/>
      <c r="B6" s="7"/>
      <c r="C6" s="7"/>
      <c r="D6" s="7"/>
      <c r="E6" s="10"/>
      <c r="F6" s="10"/>
      <c r="G6" s="10"/>
      <c r="H6" s="10"/>
      <c r="I6" s="10"/>
      <c r="J6" s="10"/>
    </row>
    <row r="7" spans="1:10" ht="4.5" customHeight="1">
      <c r="A7" s="7"/>
      <c r="B7" s="7"/>
      <c r="C7" s="7"/>
      <c r="D7" s="7"/>
      <c r="E7" s="10"/>
      <c r="F7" s="10"/>
      <c r="G7" s="10"/>
      <c r="H7" s="10"/>
      <c r="I7" s="10"/>
      <c r="J7" s="10"/>
    </row>
    <row r="8" spans="1:10" ht="18" customHeight="1">
      <c r="A8" s="11" t="s">
        <v>3</v>
      </c>
      <c r="B8" s="11"/>
      <c r="C8" s="11"/>
      <c r="D8" s="11"/>
      <c r="E8" s="11"/>
      <c r="F8" s="11"/>
      <c r="G8" s="12" t="s">
        <v>4</v>
      </c>
      <c r="H8" s="12"/>
      <c r="I8" s="12"/>
      <c r="J8" s="12"/>
    </row>
    <row r="9" spans="1:10" ht="18" customHeight="1">
      <c r="A9" s="11" t="s">
        <v>5</v>
      </c>
      <c r="B9" s="11"/>
      <c r="C9" s="11"/>
      <c r="D9" s="11"/>
      <c r="E9" s="11"/>
      <c r="F9" s="11"/>
      <c r="G9" s="13" t="s">
        <v>6</v>
      </c>
      <c r="H9" s="13"/>
      <c r="I9" s="13"/>
      <c r="J9" s="14"/>
    </row>
    <row r="10" spans="1:10" ht="18" customHeight="1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>
      <c r="A11" s="16" t="s">
        <v>8</v>
      </c>
      <c r="B11" s="17" t="s">
        <v>9</v>
      </c>
      <c r="C11" s="17" t="s">
        <v>10</v>
      </c>
      <c r="D11" s="17" t="s">
        <v>11</v>
      </c>
      <c r="E11" s="17" t="s">
        <v>12</v>
      </c>
      <c r="F11" s="18" t="s">
        <v>13</v>
      </c>
      <c r="G11" s="19" t="s">
        <v>14</v>
      </c>
      <c r="H11" s="20" t="s">
        <v>15</v>
      </c>
      <c r="I11" s="17" t="s">
        <v>16</v>
      </c>
      <c r="J11" s="17"/>
    </row>
    <row r="12" spans="1:10" ht="15.75" customHeight="1">
      <c r="A12" s="16"/>
      <c r="B12" s="17"/>
      <c r="C12" s="17"/>
      <c r="D12" s="17"/>
      <c r="E12" s="17"/>
      <c r="F12" s="18"/>
      <c r="G12" s="19"/>
      <c r="H12" s="21">
        <v>0.2467</v>
      </c>
      <c r="I12" s="17"/>
      <c r="J12" s="17"/>
    </row>
    <row r="13" spans="1:10" s="31" customFormat="1" ht="15.75" customHeight="1">
      <c r="A13" s="22" t="s">
        <v>17</v>
      </c>
      <c r="B13" s="23" t="s">
        <v>18</v>
      </c>
      <c r="C13" s="24"/>
      <c r="D13" s="24"/>
      <c r="E13" s="25"/>
      <c r="F13" s="26"/>
      <c r="G13" s="27"/>
      <c r="H13" s="28"/>
      <c r="I13" s="29">
        <f>SUM(I14:I15)</f>
        <v>1332.8532034999998</v>
      </c>
      <c r="J13" s="30"/>
    </row>
    <row r="14" spans="1:10" s="31" customFormat="1" ht="15.75" customHeight="1">
      <c r="A14" s="32" t="s">
        <v>19</v>
      </c>
      <c r="B14" s="33" t="s">
        <v>20</v>
      </c>
      <c r="C14" s="24" t="s">
        <v>21</v>
      </c>
      <c r="D14" s="24" t="s">
        <v>22</v>
      </c>
      <c r="E14" s="34" t="s">
        <v>23</v>
      </c>
      <c r="F14" s="35">
        <v>4.5</v>
      </c>
      <c r="G14" s="27">
        <v>216.29</v>
      </c>
      <c r="H14" s="36">
        <f aca="true" t="shared" si="0" ref="H14:H15">G14*1.2467</f>
        <v>269.64874299999997</v>
      </c>
      <c r="I14" s="37">
        <f aca="true" t="shared" si="1" ref="I14:I15">F14*H14</f>
        <v>1213.4193434999997</v>
      </c>
      <c r="J14" s="38"/>
    </row>
    <row r="15" spans="1:10" s="31" customFormat="1" ht="18.75" customHeight="1">
      <c r="A15" s="39" t="s">
        <v>24</v>
      </c>
      <c r="B15" s="40" t="s">
        <v>25</v>
      </c>
      <c r="C15" s="24" t="s">
        <v>26</v>
      </c>
      <c r="D15" s="24" t="s">
        <v>27</v>
      </c>
      <c r="E15" s="41" t="s">
        <v>23</v>
      </c>
      <c r="F15" s="35">
        <f>20*1</f>
        <v>20</v>
      </c>
      <c r="G15" s="27">
        <v>4.79</v>
      </c>
      <c r="H15" s="36">
        <f t="shared" si="0"/>
        <v>5.971692999999999</v>
      </c>
      <c r="I15" s="37">
        <f t="shared" si="1"/>
        <v>119.43385999999998</v>
      </c>
      <c r="J15" s="38"/>
    </row>
    <row r="16" spans="1:10" s="31" customFormat="1" ht="15.75" customHeight="1">
      <c r="A16" s="42" t="s">
        <v>28</v>
      </c>
      <c r="B16" s="43" t="s">
        <v>29</v>
      </c>
      <c r="C16" s="24"/>
      <c r="D16" s="44"/>
      <c r="E16" s="34"/>
      <c r="F16" s="35"/>
      <c r="G16" s="27"/>
      <c r="H16" s="28"/>
      <c r="I16" s="29">
        <f>SUM(I17:I18)</f>
        <v>1469.7351286799997</v>
      </c>
      <c r="J16" s="38"/>
    </row>
    <row r="17" spans="1:10" s="31" customFormat="1" ht="28.5" customHeight="1">
      <c r="A17" s="34" t="s">
        <v>30</v>
      </c>
      <c r="B17" s="45" t="s">
        <v>31</v>
      </c>
      <c r="C17" s="24" t="s">
        <v>32</v>
      </c>
      <c r="D17" s="44" t="s">
        <v>33</v>
      </c>
      <c r="E17" s="34" t="s">
        <v>34</v>
      </c>
      <c r="F17" s="46">
        <f>2.6*19*0.3</f>
        <v>14.819999999999999</v>
      </c>
      <c r="G17" s="27">
        <v>68.22</v>
      </c>
      <c r="H17" s="36">
        <f aca="true" t="shared" si="2" ref="H17:H18">G17*1.2467</f>
        <v>85.04987399999999</v>
      </c>
      <c r="I17" s="37">
        <f aca="true" t="shared" si="3" ref="I17:I18">F17*H17</f>
        <v>1260.4391326799996</v>
      </c>
      <c r="J17" s="38"/>
    </row>
    <row r="18" spans="1:10" s="31" customFormat="1" ht="15.75" customHeight="1">
      <c r="A18" s="34" t="s">
        <v>35</v>
      </c>
      <c r="B18" s="47" t="s">
        <v>36</v>
      </c>
      <c r="C18" s="24" t="s">
        <v>32</v>
      </c>
      <c r="D18" s="44">
        <v>72896</v>
      </c>
      <c r="E18" s="34" t="s">
        <v>34</v>
      </c>
      <c r="F18" s="48">
        <v>12</v>
      </c>
      <c r="G18" s="27">
        <v>13.99</v>
      </c>
      <c r="H18" s="36">
        <f t="shared" si="2"/>
        <v>17.441333</v>
      </c>
      <c r="I18" s="37">
        <f t="shared" si="3"/>
        <v>209.295996</v>
      </c>
      <c r="J18" s="38"/>
    </row>
    <row r="19" spans="1:10" s="31" customFormat="1" ht="15.75" customHeight="1">
      <c r="A19" s="42" t="s">
        <v>37</v>
      </c>
      <c r="B19" s="43" t="s">
        <v>38</v>
      </c>
      <c r="C19" s="44"/>
      <c r="D19" s="49"/>
      <c r="E19" s="34"/>
      <c r="F19" s="35"/>
      <c r="G19" s="27"/>
      <c r="H19" s="28"/>
      <c r="I19" s="29">
        <f>SUM(I20:I22)</f>
        <v>2136.318291016</v>
      </c>
      <c r="J19" s="38"/>
    </row>
    <row r="20" spans="1:10" s="31" customFormat="1" ht="24.75" customHeight="1">
      <c r="A20" s="34" t="s">
        <v>39</v>
      </c>
      <c r="B20" s="47" t="s">
        <v>40</v>
      </c>
      <c r="C20" s="44" t="s">
        <v>41</v>
      </c>
      <c r="D20" s="49" t="s">
        <v>42</v>
      </c>
      <c r="E20" s="34" t="s">
        <v>34</v>
      </c>
      <c r="F20" s="50">
        <f>2*0.4*0.4*0.8</f>
        <v>0.25600000000000006</v>
      </c>
      <c r="G20" s="27">
        <v>346.52</v>
      </c>
      <c r="H20" s="36">
        <f aca="true" t="shared" si="4" ref="H20:H22">G20*1.2467</f>
        <v>432.00648399999994</v>
      </c>
      <c r="I20" s="37">
        <f aca="true" t="shared" si="5" ref="I20:I22">F20*H20</f>
        <v>110.593659904</v>
      </c>
      <c r="J20" s="38"/>
    </row>
    <row r="21" spans="1:10" s="31" customFormat="1" ht="20.25" customHeight="1">
      <c r="A21" s="34" t="s">
        <v>43</v>
      </c>
      <c r="B21" s="47" t="s">
        <v>44</v>
      </c>
      <c r="C21" s="44" t="s">
        <v>26</v>
      </c>
      <c r="D21" s="49" t="s">
        <v>45</v>
      </c>
      <c r="E21" s="34" t="s">
        <v>34</v>
      </c>
      <c r="F21" s="50">
        <f>19*0.22*0.3</f>
        <v>1.2539999999999998</v>
      </c>
      <c r="G21" s="27">
        <v>376.2</v>
      </c>
      <c r="H21" s="36">
        <f t="shared" si="4"/>
        <v>469.00854</v>
      </c>
      <c r="I21" s="37">
        <f t="shared" si="5"/>
        <v>588.1367091599999</v>
      </c>
      <c r="J21" s="38"/>
    </row>
    <row r="22" spans="1:10" s="31" customFormat="1" ht="42.75" customHeight="1">
      <c r="A22" s="34" t="s">
        <v>46</v>
      </c>
      <c r="B22" s="45" t="s">
        <v>47</v>
      </c>
      <c r="C22" s="44" t="s">
        <v>32</v>
      </c>
      <c r="D22" s="49">
        <v>83534</v>
      </c>
      <c r="E22" s="34" t="s">
        <v>34</v>
      </c>
      <c r="F22" s="51">
        <f>2.6*19*0.06</f>
        <v>2.964</v>
      </c>
      <c r="G22" s="52">
        <v>389.04</v>
      </c>
      <c r="H22" s="36">
        <f t="shared" si="4"/>
        <v>485.016168</v>
      </c>
      <c r="I22" s="37">
        <f t="shared" si="5"/>
        <v>1437.587921952</v>
      </c>
      <c r="J22" s="38"/>
    </row>
    <row r="23" spans="1:10" s="31" customFormat="1" ht="15.75" customHeight="1">
      <c r="A23" s="42" t="s">
        <v>48</v>
      </c>
      <c r="B23" s="43" t="s">
        <v>49</v>
      </c>
      <c r="C23" s="44"/>
      <c r="D23" s="49"/>
      <c r="E23" s="34"/>
      <c r="F23" s="35"/>
      <c r="G23" s="27"/>
      <c r="H23" s="53"/>
      <c r="I23" s="53">
        <f>I24</f>
        <v>686.0851408320001</v>
      </c>
      <c r="J23" s="38"/>
    </row>
    <row r="24" spans="1:10" s="31" customFormat="1" ht="15.75" customHeight="1">
      <c r="A24" s="34" t="s">
        <v>50</v>
      </c>
      <c r="B24" s="54" t="s">
        <v>51</v>
      </c>
      <c r="C24" s="44" t="s">
        <v>32</v>
      </c>
      <c r="D24" s="49">
        <v>73346</v>
      </c>
      <c r="E24" s="34" t="s">
        <v>34</v>
      </c>
      <c r="F24" s="35">
        <f>2*4.2*0.2*0.2</f>
        <v>0.3360000000000001</v>
      </c>
      <c r="G24" s="27">
        <v>1637.86</v>
      </c>
      <c r="H24" s="36">
        <f>G24*1.2467</f>
        <v>2041.9200619999997</v>
      </c>
      <c r="I24" s="37">
        <f>F24*H24</f>
        <v>686.0851408320001</v>
      </c>
      <c r="J24" s="38"/>
    </row>
    <row r="25" spans="1:10" s="31" customFormat="1" ht="15.75" customHeight="1">
      <c r="A25" s="42" t="s">
        <v>52</v>
      </c>
      <c r="B25" s="43" t="s">
        <v>53</v>
      </c>
      <c r="C25" s="44"/>
      <c r="D25" s="49"/>
      <c r="E25" s="34"/>
      <c r="F25" s="35"/>
      <c r="G25" s="27"/>
      <c r="H25" s="28"/>
      <c r="I25" s="29">
        <f>SUM(I26:I28)</f>
        <v>2917.5772079999997</v>
      </c>
      <c r="J25" s="38"/>
    </row>
    <row r="26" spans="1:10" s="31" customFormat="1" ht="28.5" customHeight="1">
      <c r="A26" s="34" t="s">
        <v>54</v>
      </c>
      <c r="B26" s="55" t="s">
        <v>55</v>
      </c>
      <c r="C26" s="44" t="s">
        <v>32</v>
      </c>
      <c r="D26" s="49" t="s">
        <v>56</v>
      </c>
      <c r="E26" s="34" t="s">
        <v>23</v>
      </c>
      <c r="F26" s="56">
        <v>50</v>
      </c>
      <c r="G26" s="27">
        <v>32.79</v>
      </c>
      <c r="H26" s="36">
        <f aca="true" t="shared" si="6" ref="H26:H28">G26*1.2467</f>
        <v>40.879293</v>
      </c>
      <c r="I26" s="37">
        <f aca="true" t="shared" si="7" ref="I26:I28">F26*H26</f>
        <v>2043.96465</v>
      </c>
      <c r="J26" s="38"/>
    </row>
    <row r="27" spans="1:10" s="31" customFormat="1" ht="15.75" customHeight="1">
      <c r="A27" s="34" t="s">
        <v>57</v>
      </c>
      <c r="B27" s="55" t="s">
        <v>58</v>
      </c>
      <c r="C27" s="44" t="s">
        <v>32</v>
      </c>
      <c r="D27" s="49">
        <v>83669</v>
      </c>
      <c r="E27" s="34" t="s">
        <v>23</v>
      </c>
      <c r="F27" s="57">
        <v>50</v>
      </c>
      <c r="G27" s="27">
        <v>11.34</v>
      </c>
      <c r="H27" s="36">
        <f t="shared" si="6"/>
        <v>14.137578</v>
      </c>
      <c r="I27" s="37">
        <f t="shared" si="7"/>
        <v>706.8788999999999</v>
      </c>
      <c r="J27" s="38"/>
    </row>
    <row r="28" spans="1:10" s="31" customFormat="1" ht="15.75" customHeight="1">
      <c r="A28" s="34" t="s">
        <v>59</v>
      </c>
      <c r="B28" s="47" t="s">
        <v>60</v>
      </c>
      <c r="C28" s="44" t="s">
        <v>21</v>
      </c>
      <c r="D28" s="49">
        <v>71623</v>
      </c>
      <c r="E28" s="34" t="s">
        <v>61</v>
      </c>
      <c r="F28" s="35">
        <v>6</v>
      </c>
      <c r="G28" s="27">
        <v>22.29</v>
      </c>
      <c r="H28" s="36">
        <f t="shared" si="6"/>
        <v>27.788942999999996</v>
      </c>
      <c r="I28" s="37">
        <f t="shared" si="7"/>
        <v>166.733658</v>
      </c>
      <c r="J28" s="38"/>
    </row>
    <row r="29" spans="1:10" s="31" customFormat="1" ht="15.75" customHeight="1">
      <c r="A29" s="42" t="s">
        <v>62</v>
      </c>
      <c r="B29" s="43" t="s">
        <v>63</v>
      </c>
      <c r="C29" s="24"/>
      <c r="D29" s="24"/>
      <c r="E29" s="34"/>
      <c r="F29" s="35"/>
      <c r="G29" s="27"/>
      <c r="H29" s="28"/>
      <c r="I29" s="29">
        <f>SUM(I30:I49)</f>
        <v>21272.616638</v>
      </c>
      <c r="J29" s="38"/>
    </row>
    <row r="30" spans="1:10" s="31" customFormat="1" ht="28.5" customHeight="1">
      <c r="A30" s="34" t="s">
        <v>64</v>
      </c>
      <c r="B30" s="55" t="s">
        <v>65</v>
      </c>
      <c r="C30" s="24" t="s">
        <v>66</v>
      </c>
      <c r="D30" s="24">
        <v>3298</v>
      </c>
      <c r="E30" s="34" t="s">
        <v>67</v>
      </c>
      <c r="F30" s="35">
        <v>20</v>
      </c>
      <c r="G30" s="27">
        <v>107.12</v>
      </c>
      <c r="H30" s="36">
        <f aca="true" t="shared" si="8" ref="H30:H49">G30*1.2467</f>
        <v>133.546504</v>
      </c>
      <c r="I30" s="37">
        <f aca="true" t="shared" si="9" ref="I30:I49">F30*H30</f>
        <v>2670.93008</v>
      </c>
      <c r="J30" s="38"/>
    </row>
    <row r="31" spans="1:10" s="31" customFormat="1" ht="15.75" customHeight="1">
      <c r="A31" s="34" t="s">
        <v>68</v>
      </c>
      <c r="B31" s="55" t="s">
        <v>69</v>
      </c>
      <c r="C31" s="49" t="s">
        <v>66</v>
      </c>
      <c r="D31" s="49">
        <v>3292</v>
      </c>
      <c r="E31" s="34" t="s">
        <v>67</v>
      </c>
      <c r="F31" s="35">
        <v>6</v>
      </c>
      <c r="G31" s="27">
        <v>174.67</v>
      </c>
      <c r="H31" s="36">
        <f t="shared" si="8"/>
        <v>217.76108899999997</v>
      </c>
      <c r="I31" s="37">
        <f t="shared" si="9"/>
        <v>1306.5665339999998</v>
      </c>
      <c r="J31" s="38"/>
    </row>
    <row r="32" spans="1:10" s="31" customFormat="1" ht="28.5" customHeight="1">
      <c r="A32" s="34" t="s">
        <v>70</v>
      </c>
      <c r="B32" s="55" t="s">
        <v>71</v>
      </c>
      <c r="C32" s="58" t="s">
        <v>32</v>
      </c>
      <c r="D32" s="49" t="s">
        <v>72</v>
      </c>
      <c r="E32" s="34" t="s">
        <v>67</v>
      </c>
      <c r="F32" s="35">
        <v>1</v>
      </c>
      <c r="G32" s="27">
        <v>68.33</v>
      </c>
      <c r="H32" s="36">
        <f t="shared" si="8"/>
        <v>85.187011</v>
      </c>
      <c r="I32" s="37">
        <f t="shared" si="9"/>
        <v>85.187011</v>
      </c>
      <c r="J32" s="30"/>
    </row>
    <row r="33" spans="1:10" s="31" customFormat="1" ht="31.5" customHeight="1">
      <c r="A33" s="34" t="s">
        <v>73</v>
      </c>
      <c r="B33" s="55" t="s">
        <v>74</v>
      </c>
      <c r="C33" s="49" t="s">
        <v>26</v>
      </c>
      <c r="D33" s="49" t="s">
        <v>75</v>
      </c>
      <c r="E33" s="34" t="s">
        <v>67</v>
      </c>
      <c r="F33" s="35">
        <v>4</v>
      </c>
      <c r="G33" s="27">
        <v>108.49</v>
      </c>
      <c r="H33" s="36">
        <f t="shared" si="8"/>
        <v>135.254483</v>
      </c>
      <c r="I33" s="37">
        <f t="shared" si="9"/>
        <v>541.017932</v>
      </c>
      <c r="J33" s="30"/>
    </row>
    <row r="34" spans="1:10" s="31" customFormat="1" ht="28.5" customHeight="1">
      <c r="A34" s="34" t="s">
        <v>76</v>
      </c>
      <c r="B34" s="55" t="s">
        <v>77</v>
      </c>
      <c r="C34" s="49" t="s">
        <v>78</v>
      </c>
      <c r="D34" s="49">
        <v>3278</v>
      </c>
      <c r="E34" s="34" t="s">
        <v>67</v>
      </c>
      <c r="F34" s="35">
        <v>19</v>
      </c>
      <c r="G34" s="27">
        <v>98.42</v>
      </c>
      <c r="H34" s="36">
        <f t="shared" si="8"/>
        <v>122.70021399999999</v>
      </c>
      <c r="I34" s="37">
        <f t="shared" si="9"/>
        <v>2331.3040659999997</v>
      </c>
      <c r="J34" s="38"/>
    </row>
    <row r="35" spans="1:10" s="31" customFormat="1" ht="28.5" customHeight="1">
      <c r="A35" s="34" t="s">
        <v>79</v>
      </c>
      <c r="B35" s="55" t="s">
        <v>80</v>
      </c>
      <c r="C35" s="49" t="s">
        <v>78</v>
      </c>
      <c r="D35" s="49">
        <v>3281</v>
      </c>
      <c r="E35" s="34" t="s">
        <v>67</v>
      </c>
      <c r="F35" s="35">
        <v>5</v>
      </c>
      <c r="G35" s="27">
        <v>102.19</v>
      </c>
      <c r="H35" s="36">
        <f t="shared" si="8"/>
        <v>127.40027299999998</v>
      </c>
      <c r="I35" s="37">
        <f t="shared" si="9"/>
        <v>637.001365</v>
      </c>
      <c r="J35" s="38"/>
    </row>
    <row r="36" spans="1:10" s="31" customFormat="1" ht="18" customHeight="1">
      <c r="A36" s="34" t="s">
        <v>81</v>
      </c>
      <c r="B36" s="54" t="s">
        <v>82</v>
      </c>
      <c r="C36" s="24" t="s">
        <v>32</v>
      </c>
      <c r="D36" s="24" t="s">
        <v>83</v>
      </c>
      <c r="E36" s="34" t="s">
        <v>67</v>
      </c>
      <c r="F36" s="35">
        <v>3</v>
      </c>
      <c r="G36" s="27">
        <v>162.42</v>
      </c>
      <c r="H36" s="36">
        <f t="shared" si="8"/>
        <v>202.48901399999997</v>
      </c>
      <c r="I36" s="37">
        <f t="shared" si="9"/>
        <v>607.4670419999999</v>
      </c>
      <c r="J36" s="38"/>
    </row>
    <row r="37" spans="1:10" s="31" customFormat="1" ht="15.75" customHeight="1">
      <c r="A37" s="34" t="s">
        <v>84</v>
      </c>
      <c r="B37" s="54" t="s">
        <v>85</v>
      </c>
      <c r="C37" s="24" t="s">
        <v>32</v>
      </c>
      <c r="D37" s="24" t="s">
        <v>86</v>
      </c>
      <c r="E37" s="34" t="s">
        <v>67</v>
      </c>
      <c r="F37" s="35">
        <v>20</v>
      </c>
      <c r="G37" s="27">
        <v>94.04</v>
      </c>
      <c r="H37" s="36">
        <f t="shared" si="8"/>
        <v>117.239668</v>
      </c>
      <c r="I37" s="37">
        <f t="shared" si="9"/>
        <v>2344.7933599999997</v>
      </c>
      <c r="J37" s="38"/>
    </row>
    <row r="38" spans="1:10" ht="18" customHeight="1">
      <c r="A38" s="34" t="s">
        <v>87</v>
      </c>
      <c r="B38" s="54" t="s">
        <v>88</v>
      </c>
      <c r="C38" s="24" t="s">
        <v>32</v>
      </c>
      <c r="D38" s="24" t="s">
        <v>89</v>
      </c>
      <c r="E38" s="34" t="s">
        <v>67</v>
      </c>
      <c r="F38" s="35">
        <v>8</v>
      </c>
      <c r="G38" s="27">
        <v>67.38</v>
      </c>
      <c r="H38" s="36">
        <f t="shared" si="8"/>
        <v>84.00264599999998</v>
      </c>
      <c r="I38" s="37">
        <f t="shared" si="9"/>
        <v>672.0211679999999</v>
      </c>
      <c r="J38" s="30"/>
    </row>
    <row r="39" spans="1:10" ht="15.75" customHeight="1">
      <c r="A39" s="34" t="s">
        <v>90</v>
      </c>
      <c r="B39" s="54" t="s">
        <v>91</v>
      </c>
      <c r="C39" s="24" t="s">
        <v>92</v>
      </c>
      <c r="D39" s="24" t="s">
        <v>93</v>
      </c>
      <c r="E39" s="34" t="s">
        <v>67</v>
      </c>
      <c r="F39" s="35">
        <v>6</v>
      </c>
      <c r="G39" s="27">
        <v>87.11</v>
      </c>
      <c r="H39" s="36">
        <f t="shared" si="8"/>
        <v>108.60003699999999</v>
      </c>
      <c r="I39" s="37">
        <f t="shared" si="9"/>
        <v>651.6002219999999</v>
      </c>
      <c r="J39" s="30"/>
    </row>
    <row r="40" spans="1:10" ht="17.25" customHeight="1">
      <c r="A40" s="34" t="s">
        <v>94</v>
      </c>
      <c r="B40" s="54" t="s">
        <v>95</v>
      </c>
      <c r="C40" s="24" t="s">
        <v>26</v>
      </c>
      <c r="D40" s="24" t="s">
        <v>96</v>
      </c>
      <c r="E40" s="34" t="s">
        <v>67</v>
      </c>
      <c r="F40" s="35">
        <v>4</v>
      </c>
      <c r="G40" s="27">
        <v>882.55</v>
      </c>
      <c r="H40" s="36">
        <f t="shared" si="8"/>
        <v>1100.2750849999998</v>
      </c>
      <c r="I40" s="37">
        <f t="shared" si="9"/>
        <v>4401.100339999999</v>
      </c>
      <c r="J40" s="30"/>
    </row>
    <row r="41" spans="1:10" ht="31.5" customHeight="1">
      <c r="A41" s="34" t="s">
        <v>97</v>
      </c>
      <c r="B41" s="54" t="s">
        <v>98</v>
      </c>
      <c r="C41" s="24" t="s">
        <v>26</v>
      </c>
      <c r="D41" s="24" t="s">
        <v>99</v>
      </c>
      <c r="E41" s="34" t="s">
        <v>67</v>
      </c>
      <c r="F41" s="35">
        <v>1</v>
      </c>
      <c r="G41" s="27">
        <v>1091.95</v>
      </c>
      <c r="H41" s="36">
        <f t="shared" si="8"/>
        <v>1361.334065</v>
      </c>
      <c r="I41" s="37">
        <f t="shared" si="9"/>
        <v>1361.334065</v>
      </c>
      <c r="J41" s="30"/>
    </row>
    <row r="42" spans="1:10" ht="15.75" customHeight="1">
      <c r="A42" s="34" t="s">
        <v>100</v>
      </c>
      <c r="B42" s="54" t="s">
        <v>101</v>
      </c>
      <c r="C42" s="24" t="s">
        <v>32</v>
      </c>
      <c r="D42" s="24" t="s">
        <v>102</v>
      </c>
      <c r="E42" s="34" t="s">
        <v>67</v>
      </c>
      <c r="F42" s="35">
        <v>1</v>
      </c>
      <c r="G42" s="27">
        <v>310.75</v>
      </c>
      <c r="H42" s="36">
        <f t="shared" si="8"/>
        <v>387.41202499999997</v>
      </c>
      <c r="I42" s="37">
        <f t="shared" si="9"/>
        <v>387.41202499999997</v>
      </c>
      <c r="J42" s="30"/>
    </row>
    <row r="43" spans="1:10" ht="28.5" customHeight="1">
      <c r="A43" s="34" t="s">
        <v>103</v>
      </c>
      <c r="B43" s="59" t="s">
        <v>104</v>
      </c>
      <c r="C43" s="24" t="s">
        <v>32</v>
      </c>
      <c r="D43" s="24">
        <v>68069</v>
      </c>
      <c r="E43" s="34" t="s">
        <v>67</v>
      </c>
      <c r="F43" s="35">
        <v>6</v>
      </c>
      <c r="G43" s="27">
        <v>38.76</v>
      </c>
      <c r="H43" s="36">
        <f t="shared" si="8"/>
        <v>48.322092</v>
      </c>
      <c r="I43" s="37">
        <f t="shared" si="9"/>
        <v>289.932552</v>
      </c>
      <c r="J43" s="30"/>
    </row>
    <row r="44" spans="1:10" ht="15.75" customHeight="1">
      <c r="A44" s="34" t="s">
        <v>105</v>
      </c>
      <c r="B44" s="59" t="s">
        <v>106</v>
      </c>
      <c r="C44" s="24" t="s">
        <v>26</v>
      </c>
      <c r="D44" s="24" t="s">
        <v>107</v>
      </c>
      <c r="E44" s="34" t="s">
        <v>67</v>
      </c>
      <c r="F44" s="35">
        <v>3</v>
      </c>
      <c r="G44" s="27">
        <v>124.94</v>
      </c>
      <c r="H44" s="36">
        <f t="shared" si="8"/>
        <v>155.762698</v>
      </c>
      <c r="I44" s="37">
        <f t="shared" si="9"/>
        <v>467.288094</v>
      </c>
      <c r="J44" s="30"/>
    </row>
    <row r="45" spans="1:10" ht="15.75" customHeight="1">
      <c r="A45" s="34" t="s">
        <v>108</v>
      </c>
      <c r="B45" s="54" t="s">
        <v>109</v>
      </c>
      <c r="C45" s="24" t="s">
        <v>32</v>
      </c>
      <c r="D45" s="24" t="s">
        <v>110</v>
      </c>
      <c r="E45" s="34" t="s">
        <v>67</v>
      </c>
      <c r="F45" s="35">
        <v>2</v>
      </c>
      <c r="G45" s="27">
        <v>92.49</v>
      </c>
      <c r="H45" s="36">
        <f t="shared" si="8"/>
        <v>115.30728299999998</v>
      </c>
      <c r="I45" s="37">
        <f t="shared" si="9"/>
        <v>230.61456599999997</v>
      </c>
      <c r="J45" s="30"/>
    </row>
    <row r="46" spans="1:13" ht="15.75" customHeight="1">
      <c r="A46" s="34" t="s">
        <v>111</v>
      </c>
      <c r="B46" s="54" t="s">
        <v>112</v>
      </c>
      <c r="C46" s="24" t="s">
        <v>32</v>
      </c>
      <c r="D46" s="24" t="s">
        <v>113</v>
      </c>
      <c r="E46" s="34" t="s">
        <v>67</v>
      </c>
      <c r="F46" s="35">
        <v>18</v>
      </c>
      <c r="G46" s="27">
        <v>10.39</v>
      </c>
      <c r="H46" s="36">
        <f t="shared" si="8"/>
        <v>12.953213</v>
      </c>
      <c r="I46" s="37">
        <f t="shared" si="9"/>
        <v>233.157834</v>
      </c>
      <c r="J46" s="30"/>
      <c r="M46" s="60"/>
    </row>
    <row r="47" spans="1:13" ht="15.75" customHeight="1">
      <c r="A47" s="39" t="s">
        <v>114</v>
      </c>
      <c r="B47" s="40" t="s">
        <v>115</v>
      </c>
      <c r="C47" s="24" t="s">
        <v>32</v>
      </c>
      <c r="D47" s="24">
        <v>72335</v>
      </c>
      <c r="E47" s="41" t="s">
        <v>67</v>
      </c>
      <c r="F47" s="35">
        <v>69</v>
      </c>
      <c r="G47" s="27">
        <v>2.84</v>
      </c>
      <c r="H47" s="36">
        <f t="shared" si="8"/>
        <v>3.5406279999999994</v>
      </c>
      <c r="I47" s="37">
        <f t="shared" si="9"/>
        <v>244.30333199999995</v>
      </c>
      <c r="J47" s="30"/>
      <c r="M47" s="60"/>
    </row>
    <row r="48" spans="1:13" ht="15.75" customHeight="1">
      <c r="A48" s="39" t="s">
        <v>116</v>
      </c>
      <c r="B48" s="40" t="s">
        <v>117</v>
      </c>
      <c r="C48" s="24" t="s">
        <v>32</v>
      </c>
      <c r="D48" s="24" t="s">
        <v>118</v>
      </c>
      <c r="E48" s="41" t="s">
        <v>67</v>
      </c>
      <c r="F48" s="35">
        <v>11</v>
      </c>
      <c r="G48" s="27">
        <v>44.86</v>
      </c>
      <c r="H48" s="36">
        <f t="shared" si="8"/>
        <v>55.926961999999996</v>
      </c>
      <c r="I48" s="37">
        <f t="shared" si="9"/>
        <v>615.1965819999999</v>
      </c>
      <c r="J48" s="30"/>
      <c r="M48" s="60"/>
    </row>
    <row r="49" spans="1:10" ht="17.25" customHeight="1">
      <c r="A49" s="34" t="s">
        <v>119</v>
      </c>
      <c r="B49" s="54" t="s">
        <v>120</v>
      </c>
      <c r="C49" s="24" t="s">
        <v>26</v>
      </c>
      <c r="D49" s="24" t="s">
        <v>121</v>
      </c>
      <c r="E49" s="34" t="s">
        <v>67</v>
      </c>
      <c r="F49" s="35">
        <v>4</v>
      </c>
      <c r="G49" s="27">
        <v>239.51</v>
      </c>
      <c r="H49" s="36">
        <f t="shared" si="8"/>
        <v>298.59711699999997</v>
      </c>
      <c r="I49" s="37">
        <f t="shared" si="9"/>
        <v>1194.3884679999999</v>
      </c>
      <c r="J49" s="30"/>
    </row>
    <row r="50" spans="1:10" ht="15.75" customHeight="1">
      <c r="A50" s="42" t="s">
        <v>122</v>
      </c>
      <c r="B50" s="43" t="s">
        <v>123</v>
      </c>
      <c r="C50" s="24"/>
      <c r="D50" s="24"/>
      <c r="E50" s="34"/>
      <c r="F50" s="35"/>
      <c r="G50" s="27"/>
      <c r="H50" s="28"/>
      <c r="I50" s="29">
        <f>SUM(I51:I61)</f>
        <v>20515.657798999997</v>
      </c>
      <c r="J50" s="30"/>
    </row>
    <row r="51" spans="1:10" ht="15.75" customHeight="1">
      <c r="A51" s="34" t="s">
        <v>124</v>
      </c>
      <c r="B51" s="54" t="s">
        <v>125</v>
      </c>
      <c r="C51" s="24" t="s">
        <v>32</v>
      </c>
      <c r="D51" s="24">
        <v>86881</v>
      </c>
      <c r="E51" s="34" t="s">
        <v>67</v>
      </c>
      <c r="F51" s="35">
        <v>17</v>
      </c>
      <c r="G51" s="27">
        <v>82.98</v>
      </c>
      <c r="H51" s="36">
        <f aca="true" t="shared" si="10" ref="H51:H61">G51*1.2467</f>
        <v>103.451166</v>
      </c>
      <c r="I51" s="37">
        <f aca="true" t="shared" si="11" ref="I51:I61">F51*H51</f>
        <v>1758.669822</v>
      </c>
      <c r="J51" s="30"/>
    </row>
    <row r="52" spans="1:10" ht="15.75" customHeight="1">
      <c r="A52" s="34" t="s">
        <v>126</v>
      </c>
      <c r="B52" s="55" t="s">
        <v>127</v>
      </c>
      <c r="C52" s="24" t="s">
        <v>32</v>
      </c>
      <c r="D52" s="24">
        <v>89709</v>
      </c>
      <c r="E52" s="34" t="s">
        <v>67</v>
      </c>
      <c r="F52" s="35">
        <v>10</v>
      </c>
      <c r="G52" s="27">
        <v>6.46</v>
      </c>
      <c r="H52" s="36">
        <f t="shared" si="10"/>
        <v>8.053682</v>
      </c>
      <c r="I52" s="37">
        <f t="shared" si="11"/>
        <v>80.53682</v>
      </c>
      <c r="J52" s="30"/>
    </row>
    <row r="53" spans="1:10" ht="20.25" customHeight="1">
      <c r="A53" s="34" t="s">
        <v>128</v>
      </c>
      <c r="B53" s="54" t="s">
        <v>129</v>
      </c>
      <c r="C53" s="24" t="s">
        <v>26</v>
      </c>
      <c r="D53" s="24" t="s">
        <v>130</v>
      </c>
      <c r="E53" s="34" t="s">
        <v>67</v>
      </c>
      <c r="F53" s="35">
        <v>5</v>
      </c>
      <c r="G53" s="27">
        <v>41.77</v>
      </c>
      <c r="H53" s="36">
        <f t="shared" si="10"/>
        <v>52.074659000000004</v>
      </c>
      <c r="I53" s="37">
        <f t="shared" si="11"/>
        <v>260.37329500000004</v>
      </c>
      <c r="J53" s="30"/>
    </row>
    <row r="54" spans="1:10" ht="18.75" customHeight="1">
      <c r="A54" s="34" t="s">
        <v>131</v>
      </c>
      <c r="B54" s="54" t="s">
        <v>132</v>
      </c>
      <c r="C54" s="24" t="s">
        <v>26</v>
      </c>
      <c r="D54" s="24" t="s">
        <v>133</v>
      </c>
      <c r="E54" s="34" t="s">
        <v>67</v>
      </c>
      <c r="F54" s="35">
        <v>5</v>
      </c>
      <c r="G54" s="27">
        <v>79.34</v>
      </c>
      <c r="H54" s="36">
        <f t="shared" si="10"/>
        <v>98.913178</v>
      </c>
      <c r="I54" s="37">
        <f t="shared" si="11"/>
        <v>494.56589</v>
      </c>
      <c r="J54" s="30"/>
    </row>
    <row r="55" spans="1:10" ht="15.75" customHeight="1">
      <c r="A55" s="34" t="s">
        <v>134</v>
      </c>
      <c r="B55" s="54" t="s">
        <v>135</v>
      </c>
      <c r="C55" s="24" t="s">
        <v>66</v>
      </c>
      <c r="D55" s="24" t="s">
        <v>136</v>
      </c>
      <c r="E55" s="34" t="s">
        <v>67</v>
      </c>
      <c r="F55" s="35">
        <v>11</v>
      </c>
      <c r="G55" s="27">
        <v>18.92</v>
      </c>
      <c r="H55" s="36">
        <f t="shared" si="10"/>
        <v>23.587564</v>
      </c>
      <c r="I55" s="37">
        <f t="shared" si="11"/>
        <v>259.463204</v>
      </c>
      <c r="J55" s="30"/>
    </row>
    <row r="56" spans="1:10" ht="17.25" customHeight="1">
      <c r="A56" s="34" t="s">
        <v>137</v>
      </c>
      <c r="B56" s="54" t="s">
        <v>138</v>
      </c>
      <c r="C56" s="24" t="s">
        <v>66</v>
      </c>
      <c r="D56" s="24" t="s">
        <v>139</v>
      </c>
      <c r="E56" s="34" t="s">
        <v>67</v>
      </c>
      <c r="F56" s="35">
        <v>7</v>
      </c>
      <c r="G56" s="27">
        <v>52.48</v>
      </c>
      <c r="H56" s="36">
        <f t="shared" si="10"/>
        <v>65.42681599999999</v>
      </c>
      <c r="I56" s="37">
        <f t="shared" si="11"/>
        <v>457.98771199999993</v>
      </c>
      <c r="J56" s="30"/>
    </row>
    <row r="57" spans="1:10" ht="15.75" customHeight="1">
      <c r="A57" s="34" t="s">
        <v>140</v>
      </c>
      <c r="B57" s="54" t="s">
        <v>141</v>
      </c>
      <c r="C57" s="24" t="s">
        <v>66</v>
      </c>
      <c r="D57" s="24" t="s">
        <v>142</v>
      </c>
      <c r="E57" s="34" t="s">
        <v>67</v>
      </c>
      <c r="F57" s="35">
        <v>29</v>
      </c>
      <c r="G57" s="27">
        <v>110.65</v>
      </c>
      <c r="H57" s="36">
        <f t="shared" si="10"/>
        <v>137.947355</v>
      </c>
      <c r="I57" s="37">
        <f t="shared" si="11"/>
        <v>4000.473295</v>
      </c>
      <c r="J57" s="30"/>
    </row>
    <row r="58" spans="1:10" ht="15.75" customHeight="1">
      <c r="A58" s="39" t="s">
        <v>143</v>
      </c>
      <c r="B58" s="40" t="s">
        <v>144</v>
      </c>
      <c r="C58" s="24" t="s">
        <v>32</v>
      </c>
      <c r="D58" s="24">
        <v>86882</v>
      </c>
      <c r="E58" s="41" t="s">
        <v>67</v>
      </c>
      <c r="F58" s="35">
        <v>10</v>
      </c>
      <c r="G58" s="27">
        <v>11.74</v>
      </c>
      <c r="H58" s="36">
        <f t="shared" si="10"/>
        <v>14.636258</v>
      </c>
      <c r="I58" s="37">
        <f t="shared" si="11"/>
        <v>146.36258</v>
      </c>
      <c r="J58" s="30"/>
    </row>
    <row r="59" spans="1:10" ht="15.75" customHeight="1">
      <c r="A59" s="39" t="s">
        <v>145</v>
      </c>
      <c r="B59" s="40" t="s">
        <v>146</v>
      </c>
      <c r="C59" s="24" t="s">
        <v>66</v>
      </c>
      <c r="D59" s="24">
        <v>230</v>
      </c>
      <c r="E59" s="41" t="s">
        <v>67</v>
      </c>
      <c r="F59" s="35">
        <v>5</v>
      </c>
      <c r="G59" s="27">
        <v>6.99</v>
      </c>
      <c r="H59" s="36">
        <f t="shared" si="10"/>
        <v>8.714433</v>
      </c>
      <c r="I59" s="37">
        <f t="shared" si="11"/>
        <v>43.572165</v>
      </c>
      <c r="J59" s="30"/>
    </row>
    <row r="60" spans="1:10" ht="18.75" customHeight="1">
      <c r="A60" s="39" t="s">
        <v>147</v>
      </c>
      <c r="B60" s="40" t="s">
        <v>148</v>
      </c>
      <c r="C60" s="24" t="s">
        <v>26</v>
      </c>
      <c r="D60" s="24" t="s">
        <v>149</v>
      </c>
      <c r="E60" s="41" t="s">
        <v>67</v>
      </c>
      <c r="F60" s="35">
        <v>2</v>
      </c>
      <c r="G60" s="27">
        <v>5126.38</v>
      </c>
      <c r="H60" s="36">
        <f t="shared" si="10"/>
        <v>6391.057946</v>
      </c>
      <c r="I60" s="37">
        <f t="shared" si="11"/>
        <v>12782.115892</v>
      </c>
      <c r="J60" s="30"/>
    </row>
    <row r="61" spans="1:10" ht="15.75" customHeight="1">
      <c r="A61" s="39" t="s">
        <v>150</v>
      </c>
      <c r="B61" s="40" t="s">
        <v>151</v>
      </c>
      <c r="C61" s="24" t="s">
        <v>32</v>
      </c>
      <c r="D61" s="24">
        <v>86912</v>
      </c>
      <c r="E61" s="41" t="s">
        <v>67</v>
      </c>
      <c r="F61" s="35">
        <v>4</v>
      </c>
      <c r="G61" s="27">
        <v>46.43</v>
      </c>
      <c r="H61" s="36">
        <f t="shared" si="10"/>
        <v>57.884280999999994</v>
      </c>
      <c r="I61" s="37">
        <f t="shared" si="11"/>
        <v>231.53712399999998</v>
      </c>
      <c r="J61" s="30"/>
    </row>
    <row r="62" spans="1:14" ht="15.75" customHeight="1">
      <c r="A62" s="42" t="s">
        <v>152</v>
      </c>
      <c r="B62" s="43" t="s">
        <v>153</v>
      </c>
      <c r="C62" s="24"/>
      <c r="D62" s="24"/>
      <c r="E62" s="34"/>
      <c r="F62" s="35"/>
      <c r="G62" s="27"/>
      <c r="H62" s="28"/>
      <c r="I62" s="29">
        <f>SUM(I63:I68)</f>
        <v>20525.584647749998</v>
      </c>
      <c r="J62" s="30"/>
      <c r="L62" s="61"/>
      <c r="M62" s="61"/>
      <c r="N62" s="61"/>
    </row>
    <row r="63" spans="1:14" ht="31.5" customHeight="1">
      <c r="A63" s="34" t="s">
        <v>154</v>
      </c>
      <c r="B63" s="55" t="s">
        <v>155</v>
      </c>
      <c r="C63" s="24" t="s">
        <v>26</v>
      </c>
      <c r="D63" s="24" t="s">
        <v>156</v>
      </c>
      <c r="E63" s="34" t="s">
        <v>23</v>
      </c>
      <c r="F63" s="56">
        <f>36*1.2</f>
        <v>43.199999999999996</v>
      </c>
      <c r="G63" s="27">
        <v>16.62</v>
      </c>
      <c r="H63" s="36">
        <f aca="true" t="shared" si="12" ref="H63:H68">G63*1.2467</f>
        <v>20.720154</v>
      </c>
      <c r="I63" s="37">
        <f aca="true" t="shared" si="13" ref="I63:I68">F63*H63</f>
        <v>895.1106527999999</v>
      </c>
      <c r="J63" s="30"/>
      <c r="L63" s="61"/>
      <c r="M63" s="61"/>
      <c r="N63" s="61"/>
    </row>
    <row r="64" spans="1:14" ht="31.5" customHeight="1">
      <c r="A64" s="34" t="s">
        <v>157</v>
      </c>
      <c r="B64" s="55" t="s">
        <v>158</v>
      </c>
      <c r="C64" s="24" t="s">
        <v>26</v>
      </c>
      <c r="D64" s="24" t="s">
        <v>159</v>
      </c>
      <c r="E64" s="34" t="s">
        <v>23</v>
      </c>
      <c r="F64" s="56">
        <f>8.5*3.5</f>
        <v>29.75</v>
      </c>
      <c r="G64" s="27">
        <v>63.02</v>
      </c>
      <c r="H64" s="36">
        <f t="shared" si="12"/>
        <v>78.56703399999999</v>
      </c>
      <c r="I64" s="37">
        <f t="shared" si="13"/>
        <v>2337.3692615</v>
      </c>
      <c r="J64" s="30"/>
      <c r="L64" s="61"/>
      <c r="M64" s="61"/>
      <c r="N64" s="61"/>
    </row>
    <row r="65" spans="1:14" ht="31.5" customHeight="1">
      <c r="A65" s="34" t="s">
        <v>160</v>
      </c>
      <c r="B65" s="55" t="s">
        <v>161</v>
      </c>
      <c r="C65" s="24" t="s">
        <v>26</v>
      </c>
      <c r="D65" s="24" t="s">
        <v>162</v>
      </c>
      <c r="E65" s="34" t="s">
        <v>23</v>
      </c>
      <c r="F65" s="35">
        <f>36*1.2</f>
        <v>43.199999999999996</v>
      </c>
      <c r="G65" s="27">
        <v>47.53</v>
      </c>
      <c r="H65" s="36">
        <f t="shared" si="12"/>
        <v>59.255651</v>
      </c>
      <c r="I65" s="37">
        <f t="shared" si="13"/>
        <v>2559.8441231999996</v>
      </c>
      <c r="J65" s="30"/>
      <c r="L65" s="61"/>
      <c r="M65" s="61"/>
      <c r="N65" s="61"/>
    </row>
    <row r="66" spans="1:10" ht="31.5" customHeight="1">
      <c r="A66" s="34" t="s">
        <v>163</v>
      </c>
      <c r="B66" s="55" t="s">
        <v>164</v>
      </c>
      <c r="C66" s="24" t="s">
        <v>26</v>
      </c>
      <c r="D66" s="24" t="s">
        <v>165</v>
      </c>
      <c r="E66" s="34" t="s">
        <v>23</v>
      </c>
      <c r="F66" s="35">
        <f>2.5*3.5</f>
        <v>8.75</v>
      </c>
      <c r="G66" s="27">
        <v>29.53</v>
      </c>
      <c r="H66" s="36">
        <f t="shared" si="12"/>
        <v>36.815051</v>
      </c>
      <c r="I66" s="37">
        <f t="shared" si="13"/>
        <v>322.13169624999995</v>
      </c>
      <c r="J66" s="30"/>
    </row>
    <row r="67" spans="1:11" ht="15.75" customHeight="1">
      <c r="A67" s="39" t="s">
        <v>166</v>
      </c>
      <c r="B67" s="40" t="s">
        <v>167</v>
      </c>
      <c r="C67" s="24" t="s">
        <v>32</v>
      </c>
      <c r="D67" s="24" t="s">
        <v>168</v>
      </c>
      <c r="E67" s="41" t="s">
        <v>23</v>
      </c>
      <c r="F67" s="35">
        <v>150</v>
      </c>
      <c r="G67" s="27">
        <v>73.29</v>
      </c>
      <c r="H67" s="36">
        <f t="shared" si="12"/>
        <v>91.370643</v>
      </c>
      <c r="I67" s="37">
        <f t="shared" si="13"/>
        <v>13705.596450000001</v>
      </c>
      <c r="J67" s="30"/>
      <c r="K67" s="2">
        <v>194</v>
      </c>
    </row>
    <row r="68" spans="1:10" ht="15.75" customHeight="1">
      <c r="A68" s="39" t="s">
        <v>169</v>
      </c>
      <c r="B68" s="40" t="s">
        <v>170</v>
      </c>
      <c r="C68" s="24" t="s">
        <v>32</v>
      </c>
      <c r="D68" s="24">
        <v>73465</v>
      </c>
      <c r="E68" s="41" t="s">
        <v>171</v>
      </c>
      <c r="F68" s="35">
        <f>6*4</f>
        <v>24</v>
      </c>
      <c r="G68" s="27">
        <v>23.58</v>
      </c>
      <c r="H68" s="36">
        <f t="shared" si="12"/>
        <v>29.397185999999994</v>
      </c>
      <c r="I68" s="37">
        <f t="shared" si="13"/>
        <v>705.5324639999999</v>
      </c>
      <c r="J68" s="30"/>
    </row>
    <row r="69" spans="1:10" ht="15.75" customHeight="1">
      <c r="A69" s="42" t="s">
        <v>172</v>
      </c>
      <c r="B69" s="43" t="s">
        <v>173</v>
      </c>
      <c r="C69" s="24"/>
      <c r="D69" s="24"/>
      <c r="E69" s="34"/>
      <c r="F69" s="35"/>
      <c r="G69" s="27"/>
      <c r="H69" s="28"/>
      <c r="I69" s="62">
        <f>SUM(I70:I74)</f>
        <v>6322.6355592400005</v>
      </c>
      <c r="J69" s="30"/>
    </row>
    <row r="70" spans="1:10" ht="18" customHeight="1">
      <c r="A70" s="34" t="s">
        <v>174</v>
      </c>
      <c r="B70" s="54" t="s">
        <v>175</v>
      </c>
      <c r="C70" s="24" t="s">
        <v>32</v>
      </c>
      <c r="D70" s="24">
        <v>73809</v>
      </c>
      <c r="E70" s="34" t="s">
        <v>23</v>
      </c>
      <c r="F70" s="35">
        <f>0.8*1</f>
        <v>0.8</v>
      </c>
      <c r="G70" s="27">
        <v>479.43</v>
      </c>
      <c r="H70" s="36">
        <f aca="true" t="shared" si="14" ref="H70:H74">G70*1.2467</f>
        <v>597.705381</v>
      </c>
      <c r="I70" s="37">
        <f aca="true" t="shared" si="15" ref="I70:I74">F70*H70</f>
        <v>478.1643048</v>
      </c>
      <c r="J70" s="30"/>
    </row>
    <row r="71" spans="1:10" ht="18" customHeight="1">
      <c r="A71" s="34" t="s">
        <v>176</v>
      </c>
      <c r="B71" s="54" t="s">
        <v>177</v>
      </c>
      <c r="C71" s="24" t="s">
        <v>32</v>
      </c>
      <c r="D71" s="24">
        <v>72116</v>
      </c>
      <c r="E71" s="34" t="s">
        <v>23</v>
      </c>
      <c r="F71" s="35">
        <v>0.8</v>
      </c>
      <c r="G71" s="27">
        <v>76.16</v>
      </c>
      <c r="H71" s="36">
        <f t="shared" si="14"/>
        <v>94.94867199999999</v>
      </c>
      <c r="I71" s="37">
        <f t="shared" si="15"/>
        <v>75.9589376</v>
      </c>
      <c r="J71" s="30"/>
    </row>
    <row r="72" spans="1:10" ht="17.25" customHeight="1">
      <c r="A72" s="34" t="s">
        <v>178</v>
      </c>
      <c r="B72" s="54" t="s">
        <v>179</v>
      </c>
      <c r="C72" s="24" t="s">
        <v>26</v>
      </c>
      <c r="D72" s="24" t="s">
        <v>180</v>
      </c>
      <c r="E72" s="34" t="s">
        <v>23</v>
      </c>
      <c r="F72" s="35">
        <f>47.63*0.8</f>
        <v>38.104000000000006</v>
      </c>
      <c r="G72" s="27">
        <v>67.05</v>
      </c>
      <c r="H72" s="36">
        <f t="shared" si="14"/>
        <v>83.591235</v>
      </c>
      <c r="I72" s="37">
        <f t="shared" si="15"/>
        <v>3185.1604184400003</v>
      </c>
      <c r="J72" s="30"/>
    </row>
    <row r="73" spans="1:10" ht="17.25" customHeight="1">
      <c r="A73" s="39" t="s">
        <v>181</v>
      </c>
      <c r="B73" s="40" t="s">
        <v>182</v>
      </c>
      <c r="C73" s="24" t="s">
        <v>32</v>
      </c>
      <c r="D73" s="24" t="s">
        <v>183</v>
      </c>
      <c r="E73" s="41" t="s">
        <v>67</v>
      </c>
      <c r="F73" s="35">
        <v>4</v>
      </c>
      <c r="G73" s="27">
        <v>255.76</v>
      </c>
      <c r="H73" s="36">
        <f t="shared" si="14"/>
        <v>318.85599199999996</v>
      </c>
      <c r="I73" s="37">
        <f t="shared" si="15"/>
        <v>1275.4239679999998</v>
      </c>
      <c r="J73" s="30"/>
    </row>
    <row r="74" spans="1:10" ht="17.25" customHeight="1">
      <c r="A74" s="39" t="s">
        <v>184</v>
      </c>
      <c r="B74" s="40" t="s">
        <v>185</v>
      </c>
      <c r="C74" s="24" t="s">
        <v>32</v>
      </c>
      <c r="D74" s="24">
        <v>68054</v>
      </c>
      <c r="E74" s="41" t="s">
        <v>23</v>
      </c>
      <c r="F74" s="35">
        <v>7.2</v>
      </c>
      <c r="G74" s="27">
        <v>145.71</v>
      </c>
      <c r="H74" s="36">
        <f t="shared" si="14"/>
        <v>181.656657</v>
      </c>
      <c r="I74" s="37">
        <f t="shared" si="15"/>
        <v>1307.9279304</v>
      </c>
      <c r="J74" s="30"/>
    </row>
    <row r="75" spans="1:10" ht="17.25" customHeight="1">
      <c r="A75" s="42" t="s">
        <v>186</v>
      </c>
      <c r="B75" s="43" t="s">
        <v>187</v>
      </c>
      <c r="C75" s="24"/>
      <c r="D75" s="24"/>
      <c r="E75" s="34"/>
      <c r="F75" s="35"/>
      <c r="G75" s="27"/>
      <c r="H75" s="28"/>
      <c r="I75" s="29">
        <f>SUM(I76:I78)</f>
        <v>1213.4305638</v>
      </c>
      <c r="J75" s="30"/>
    </row>
    <row r="76" spans="1:10" ht="17.25" customHeight="1">
      <c r="A76" s="39" t="s">
        <v>188</v>
      </c>
      <c r="B76" s="40" t="s">
        <v>189</v>
      </c>
      <c r="C76" s="24" t="s">
        <v>32</v>
      </c>
      <c r="D76" s="24">
        <v>87873</v>
      </c>
      <c r="E76" s="39" t="s">
        <v>23</v>
      </c>
      <c r="F76" s="35">
        <f>(97+30)*1.8</f>
        <v>228.6</v>
      </c>
      <c r="G76" s="27">
        <v>2.99</v>
      </c>
      <c r="H76" s="36">
        <f aca="true" t="shared" si="16" ref="H76:H78">G76*1.2467</f>
        <v>3.727633</v>
      </c>
      <c r="I76" s="37">
        <f aca="true" t="shared" si="17" ref="I76:I78">F76*H76</f>
        <v>852.1369038</v>
      </c>
      <c r="J76" s="30"/>
    </row>
    <row r="77" spans="1:10" ht="17.25" customHeight="1">
      <c r="A77" s="39" t="s">
        <v>190</v>
      </c>
      <c r="B77" s="40" t="s">
        <v>191</v>
      </c>
      <c r="C77" s="24" t="s">
        <v>32</v>
      </c>
      <c r="D77" s="24">
        <v>87893</v>
      </c>
      <c r="E77" s="41" t="s">
        <v>23</v>
      </c>
      <c r="F77" s="35">
        <f aca="true" t="shared" si="18" ref="F77:F78">20*1</f>
        <v>20</v>
      </c>
      <c r="G77" s="27">
        <v>2.99</v>
      </c>
      <c r="H77" s="36">
        <f t="shared" si="16"/>
        <v>3.727633</v>
      </c>
      <c r="I77" s="37">
        <f t="shared" si="17"/>
        <v>74.55266</v>
      </c>
      <c r="J77" s="30"/>
    </row>
    <row r="78" spans="1:10" ht="17.25" customHeight="1">
      <c r="A78" s="39" t="s">
        <v>192</v>
      </c>
      <c r="B78" s="40" t="s">
        <v>193</v>
      </c>
      <c r="C78" s="24" t="s">
        <v>32</v>
      </c>
      <c r="D78" s="24">
        <v>75481</v>
      </c>
      <c r="E78" s="41" t="s">
        <v>23</v>
      </c>
      <c r="F78" s="35">
        <f t="shared" si="18"/>
        <v>20</v>
      </c>
      <c r="G78" s="27">
        <v>11.5</v>
      </c>
      <c r="H78" s="36">
        <f t="shared" si="16"/>
        <v>14.33705</v>
      </c>
      <c r="I78" s="37">
        <f t="shared" si="17"/>
        <v>286.741</v>
      </c>
      <c r="J78" s="30"/>
    </row>
    <row r="79" spans="1:10" ht="15.75" customHeight="1">
      <c r="A79" s="42" t="s">
        <v>194</v>
      </c>
      <c r="B79" s="43" t="s">
        <v>195</v>
      </c>
      <c r="C79" s="24"/>
      <c r="D79" s="24"/>
      <c r="E79" s="34"/>
      <c r="F79" s="35"/>
      <c r="G79" s="27"/>
      <c r="H79" s="28"/>
      <c r="I79" s="29">
        <f>SUM(I80:I89)</f>
        <v>31945.847897418</v>
      </c>
      <c r="J79" s="30"/>
    </row>
    <row r="80" spans="1:10" ht="28.5" customHeight="1">
      <c r="A80" s="34" t="s">
        <v>196</v>
      </c>
      <c r="B80" s="55" t="s">
        <v>197</v>
      </c>
      <c r="C80" s="24" t="s">
        <v>32</v>
      </c>
      <c r="D80" s="24">
        <v>88489</v>
      </c>
      <c r="E80" s="34" t="s">
        <v>23</v>
      </c>
      <c r="F80" s="56">
        <f>158.55*2.8</f>
        <v>443.94</v>
      </c>
      <c r="G80" s="27">
        <v>8.34</v>
      </c>
      <c r="H80" s="36">
        <f aca="true" t="shared" si="19" ref="H80:H89">G80*1.2467</f>
        <v>10.397478</v>
      </c>
      <c r="I80" s="37">
        <f aca="true" t="shared" si="20" ref="I80:I89">F80*H80</f>
        <v>4615.85638332</v>
      </c>
      <c r="J80" s="30"/>
    </row>
    <row r="81" spans="1:10" ht="28.5" customHeight="1">
      <c r="A81" s="34" t="s">
        <v>198</v>
      </c>
      <c r="B81" s="55" t="s">
        <v>199</v>
      </c>
      <c r="C81" s="24" t="s">
        <v>32</v>
      </c>
      <c r="D81" s="24">
        <v>88497</v>
      </c>
      <c r="E81" s="34" t="s">
        <v>23</v>
      </c>
      <c r="F81" s="56">
        <v>443.94</v>
      </c>
      <c r="G81" s="27">
        <v>8.71</v>
      </c>
      <c r="H81" s="36">
        <f t="shared" si="19"/>
        <v>10.858757</v>
      </c>
      <c r="I81" s="37">
        <f t="shared" si="20"/>
        <v>4820.63658258</v>
      </c>
      <c r="J81" s="30"/>
    </row>
    <row r="82" spans="1:10" ht="28.5" customHeight="1">
      <c r="A82" s="34" t="s">
        <v>200</v>
      </c>
      <c r="B82" s="55" t="s">
        <v>201</v>
      </c>
      <c r="C82" s="24" t="s">
        <v>32</v>
      </c>
      <c r="D82" s="24" t="s">
        <v>202</v>
      </c>
      <c r="E82" s="34" t="s">
        <v>23</v>
      </c>
      <c r="F82" s="56">
        <f>36.89*2.8</f>
        <v>103.292</v>
      </c>
      <c r="G82" s="27">
        <v>37.44</v>
      </c>
      <c r="H82" s="36">
        <f t="shared" si="19"/>
        <v>46.67644799999999</v>
      </c>
      <c r="I82" s="37">
        <f t="shared" si="20"/>
        <v>4821.303666815999</v>
      </c>
      <c r="J82" s="30"/>
    </row>
    <row r="83" spans="1:10" ht="18.75" customHeight="1">
      <c r="A83" s="34" t="s">
        <v>203</v>
      </c>
      <c r="B83" s="54" t="s">
        <v>204</v>
      </c>
      <c r="C83" s="24" t="s">
        <v>26</v>
      </c>
      <c r="D83" s="24" t="s">
        <v>205</v>
      </c>
      <c r="E83" s="34" t="s">
        <v>23</v>
      </c>
      <c r="F83" s="35">
        <f>123.92*3.3</f>
        <v>408.936</v>
      </c>
      <c r="G83" s="27">
        <v>9.63</v>
      </c>
      <c r="H83" s="36">
        <f t="shared" si="19"/>
        <v>12.005721</v>
      </c>
      <c r="I83" s="37">
        <f t="shared" si="20"/>
        <v>4909.571522855999</v>
      </c>
      <c r="J83" s="30"/>
    </row>
    <row r="84" spans="1:10" ht="28.5" customHeight="1">
      <c r="A84" s="34" t="s">
        <v>206</v>
      </c>
      <c r="B84" s="55" t="s">
        <v>207</v>
      </c>
      <c r="C84" s="24" t="s">
        <v>32</v>
      </c>
      <c r="D84" s="24">
        <v>88488</v>
      </c>
      <c r="E84" s="34" t="s">
        <v>23</v>
      </c>
      <c r="F84" s="35">
        <v>268.94</v>
      </c>
      <c r="G84" s="27">
        <v>9.27</v>
      </c>
      <c r="H84" s="36">
        <f t="shared" si="19"/>
        <v>11.556909</v>
      </c>
      <c r="I84" s="37">
        <f t="shared" si="20"/>
        <v>3108.11510646</v>
      </c>
      <c r="J84" s="30"/>
    </row>
    <row r="85" spans="1:10" ht="28.5" customHeight="1">
      <c r="A85" s="34" t="s">
        <v>208</v>
      </c>
      <c r="B85" s="55" t="s">
        <v>209</v>
      </c>
      <c r="C85" s="24" t="s">
        <v>32</v>
      </c>
      <c r="D85" s="24">
        <v>88494</v>
      </c>
      <c r="E85" s="34" t="s">
        <v>23</v>
      </c>
      <c r="F85" s="35">
        <v>268.94</v>
      </c>
      <c r="G85" s="27">
        <v>10.68</v>
      </c>
      <c r="H85" s="36">
        <f t="shared" si="19"/>
        <v>13.314756</v>
      </c>
      <c r="I85" s="37">
        <f t="shared" si="20"/>
        <v>3580.87047864</v>
      </c>
      <c r="J85" s="30"/>
    </row>
    <row r="86" spans="1:10" ht="15.75" customHeight="1">
      <c r="A86" s="39" t="s">
        <v>210</v>
      </c>
      <c r="B86" s="40" t="s">
        <v>211</v>
      </c>
      <c r="C86" s="24" t="s">
        <v>32</v>
      </c>
      <c r="D86" s="24" t="s">
        <v>212</v>
      </c>
      <c r="E86" s="39" t="s">
        <v>23</v>
      </c>
      <c r="F86" s="35">
        <f>(23.16+6.35+20.61+13.6+8.9+13.45)*0.6</f>
        <v>51.642</v>
      </c>
      <c r="G86" s="27">
        <v>16.87</v>
      </c>
      <c r="H86" s="36">
        <f t="shared" si="19"/>
        <v>21.031829</v>
      </c>
      <c r="I86" s="37">
        <f t="shared" si="20"/>
        <v>1086.1257132179999</v>
      </c>
      <c r="J86" s="30"/>
    </row>
    <row r="87" spans="1:10" ht="15.75" customHeight="1">
      <c r="A87" s="39" t="s">
        <v>213</v>
      </c>
      <c r="B87" s="40" t="s">
        <v>214</v>
      </c>
      <c r="C87" s="24" t="s">
        <v>32</v>
      </c>
      <c r="D87" s="24" t="s">
        <v>215</v>
      </c>
      <c r="E87" s="41" t="s">
        <v>23</v>
      </c>
      <c r="F87" s="35">
        <f>(29*0.8*2.1)*2.5</f>
        <v>121.80000000000001</v>
      </c>
      <c r="G87" s="27">
        <v>16.47</v>
      </c>
      <c r="H87" s="36">
        <f t="shared" si="19"/>
        <v>20.533148999999998</v>
      </c>
      <c r="I87" s="37">
        <f t="shared" si="20"/>
        <v>2500.9375482</v>
      </c>
      <c r="J87" s="30"/>
    </row>
    <row r="88" spans="1:10" ht="28.5" customHeight="1">
      <c r="A88" s="34" t="s">
        <v>216</v>
      </c>
      <c r="B88" s="55" t="s">
        <v>217</v>
      </c>
      <c r="C88" s="24" t="s">
        <v>32</v>
      </c>
      <c r="D88" s="24">
        <v>6067</v>
      </c>
      <c r="E88" s="34" t="s">
        <v>23</v>
      </c>
      <c r="F88" s="35">
        <f>21.75*0.8</f>
        <v>17.400000000000002</v>
      </c>
      <c r="G88" s="27">
        <v>24.04</v>
      </c>
      <c r="H88" s="36">
        <f t="shared" si="19"/>
        <v>29.970667999999996</v>
      </c>
      <c r="I88" s="37">
        <f t="shared" si="20"/>
        <v>521.4896232</v>
      </c>
      <c r="J88" s="30"/>
    </row>
    <row r="89" spans="1:10" ht="28.5" customHeight="1">
      <c r="A89" s="41" t="s">
        <v>218</v>
      </c>
      <c r="B89" s="63" t="s">
        <v>219</v>
      </c>
      <c r="C89" s="24" t="s">
        <v>32</v>
      </c>
      <c r="D89" s="24">
        <v>6067</v>
      </c>
      <c r="E89" s="41" t="s">
        <v>23</v>
      </c>
      <c r="F89" s="35">
        <f>18.36*1.8*2</f>
        <v>66.096</v>
      </c>
      <c r="G89" s="27">
        <v>24.04</v>
      </c>
      <c r="H89" s="36">
        <f t="shared" si="19"/>
        <v>29.970667999999996</v>
      </c>
      <c r="I89" s="37">
        <f t="shared" si="20"/>
        <v>1980.9412721279998</v>
      </c>
      <c r="J89" s="30"/>
    </row>
    <row r="90" spans="1:10" ht="15.75" customHeight="1">
      <c r="A90" s="64" t="s">
        <v>220</v>
      </c>
      <c r="B90" s="23" t="s">
        <v>221</v>
      </c>
      <c r="C90" s="24"/>
      <c r="D90" s="24"/>
      <c r="E90" s="25"/>
      <c r="F90" s="35"/>
      <c r="G90" s="27"/>
      <c r="H90" s="28"/>
      <c r="I90" s="62">
        <f>SUM(I91:I103)</f>
        <v>13629.780708362</v>
      </c>
      <c r="J90" s="30"/>
    </row>
    <row r="91" spans="1:10" ht="15.75" customHeight="1">
      <c r="A91" s="34" t="s">
        <v>222</v>
      </c>
      <c r="B91" s="54" t="s">
        <v>223</v>
      </c>
      <c r="C91" s="24" t="s">
        <v>32</v>
      </c>
      <c r="D91" s="24">
        <v>83635</v>
      </c>
      <c r="E91" s="34" t="s">
        <v>67</v>
      </c>
      <c r="F91" s="35">
        <v>2</v>
      </c>
      <c r="G91" s="27">
        <v>226.32</v>
      </c>
      <c r="H91" s="36">
        <f aca="true" t="shared" si="21" ref="H91:H103">G91*1.2467</f>
        <v>282.153144</v>
      </c>
      <c r="I91" s="37">
        <f aca="true" t="shared" si="22" ref="I91:I103">F91*H91</f>
        <v>564.306288</v>
      </c>
      <c r="J91" s="30"/>
    </row>
    <row r="92" spans="1:10" ht="15.75" customHeight="1">
      <c r="A92" s="34" t="s">
        <v>224</v>
      </c>
      <c r="B92" s="54" t="s">
        <v>225</v>
      </c>
      <c r="C92" s="24" t="s">
        <v>32</v>
      </c>
      <c r="D92" s="24">
        <v>72554</v>
      </c>
      <c r="E92" s="34" t="s">
        <v>67</v>
      </c>
      <c r="F92" s="35">
        <v>2</v>
      </c>
      <c r="G92" s="27">
        <v>652.05</v>
      </c>
      <c r="H92" s="36">
        <f t="shared" si="21"/>
        <v>812.9107349999999</v>
      </c>
      <c r="I92" s="37">
        <f t="shared" si="22"/>
        <v>1625.8214699999999</v>
      </c>
      <c r="J92" s="30"/>
    </row>
    <row r="93" spans="1:10" ht="15.75" customHeight="1">
      <c r="A93" s="34" t="s">
        <v>226</v>
      </c>
      <c r="B93" s="54" t="s">
        <v>227</v>
      </c>
      <c r="C93" s="24" t="s">
        <v>21</v>
      </c>
      <c r="D93" s="24" t="s">
        <v>228</v>
      </c>
      <c r="E93" s="34" t="s">
        <v>67</v>
      </c>
      <c r="F93" s="35">
        <v>2</v>
      </c>
      <c r="G93" s="27">
        <v>199.44</v>
      </c>
      <c r="H93" s="36">
        <f t="shared" si="21"/>
        <v>248.64184799999998</v>
      </c>
      <c r="I93" s="37">
        <f t="shared" si="22"/>
        <v>497.28369599999996</v>
      </c>
      <c r="J93" s="30"/>
    </row>
    <row r="94" spans="1:10" ht="15.75" customHeight="1">
      <c r="A94" s="39" t="s">
        <v>229</v>
      </c>
      <c r="B94" s="40" t="s">
        <v>230</v>
      </c>
      <c r="C94" s="24" t="s">
        <v>32</v>
      </c>
      <c r="D94" s="24">
        <v>87414</v>
      </c>
      <c r="E94" s="41" t="s">
        <v>23</v>
      </c>
      <c r="F94" s="35">
        <f>2*25</f>
        <v>50</v>
      </c>
      <c r="G94" s="27">
        <v>13.46</v>
      </c>
      <c r="H94" s="36">
        <f t="shared" si="21"/>
        <v>16.780582</v>
      </c>
      <c r="I94" s="37">
        <f t="shared" si="22"/>
        <v>839.0291</v>
      </c>
      <c r="J94" s="30"/>
    </row>
    <row r="95" spans="1:10" ht="15.75" customHeight="1">
      <c r="A95" s="39" t="s">
        <v>231</v>
      </c>
      <c r="B95" s="40" t="s">
        <v>232</v>
      </c>
      <c r="C95" s="24" t="s">
        <v>32</v>
      </c>
      <c r="D95" s="24">
        <v>72117</v>
      </c>
      <c r="E95" s="41" t="s">
        <v>23</v>
      </c>
      <c r="F95" s="35">
        <f>0.6*0.4*6</f>
        <v>1.44</v>
      </c>
      <c r="G95" s="27">
        <v>97.73</v>
      </c>
      <c r="H95" s="36">
        <f t="shared" si="21"/>
        <v>121.839991</v>
      </c>
      <c r="I95" s="37">
        <f t="shared" si="22"/>
        <v>175.44958703999998</v>
      </c>
      <c r="J95" s="30"/>
    </row>
    <row r="96" spans="1:10" ht="15.75" customHeight="1">
      <c r="A96" s="39" t="s">
        <v>233</v>
      </c>
      <c r="B96" s="40" t="s">
        <v>234</v>
      </c>
      <c r="C96" s="24" t="s">
        <v>32</v>
      </c>
      <c r="D96" s="24" t="s">
        <v>235</v>
      </c>
      <c r="E96" s="41" t="s">
        <v>171</v>
      </c>
      <c r="F96" s="35">
        <f>15+15</f>
        <v>30</v>
      </c>
      <c r="G96" s="27">
        <v>31.15</v>
      </c>
      <c r="H96" s="36">
        <f t="shared" si="21"/>
        <v>38.83470499999999</v>
      </c>
      <c r="I96" s="37">
        <f t="shared" si="22"/>
        <v>1165.0411499999998</v>
      </c>
      <c r="J96" s="30"/>
    </row>
    <row r="97" spans="1:10" ht="28.5" customHeight="1">
      <c r="A97" s="41" t="s">
        <v>236</v>
      </c>
      <c r="B97" s="63" t="s">
        <v>237</v>
      </c>
      <c r="C97" s="24" t="s">
        <v>32</v>
      </c>
      <c r="D97" s="24" t="s">
        <v>238</v>
      </c>
      <c r="E97" s="41" t="s">
        <v>171</v>
      </c>
      <c r="F97" s="35">
        <v>50</v>
      </c>
      <c r="G97" s="27">
        <v>25.03</v>
      </c>
      <c r="H97" s="36">
        <f t="shared" si="21"/>
        <v>31.204901</v>
      </c>
      <c r="I97" s="37">
        <f t="shared" si="22"/>
        <v>1560.24505</v>
      </c>
      <c r="J97" s="30"/>
    </row>
    <row r="98" spans="1:10" ht="15.75" customHeight="1">
      <c r="A98" s="65" t="s">
        <v>239</v>
      </c>
      <c r="B98" s="54" t="s">
        <v>240</v>
      </c>
      <c r="C98" s="24" t="s">
        <v>66</v>
      </c>
      <c r="D98" s="24">
        <v>2063</v>
      </c>
      <c r="E98" s="34" t="s">
        <v>67</v>
      </c>
      <c r="F98" s="51">
        <v>4</v>
      </c>
      <c r="G98" s="27">
        <v>149.9</v>
      </c>
      <c r="H98" s="36">
        <f t="shared" si="21"/>
        <v>186.88033</v>
      </c>
      <c r="I98" s="37">
        <f t="shared" si="22"/>
        <v>747.52132</v>
      </c>
      <c r="J98" s="30"/>
    </row>
    <row r="99" spans="1:10" ht="15.75" customHeight="1">
      <c r="A99" s="65" t="s">
        <v>241</v>
      </c>
      <c r="B99" s="54" t="s">
        <v>242</v>
      </c>
      <c r="C99" s="24" t="s">
        <v>66</v>
      </c>
      <c r="D99" s="24">
        <v>9404</v>
      </c>
      <c r="E99" s="34" t="s">
        <v>67</v>
      </c>
      <c r="F99" s="51">
        <v>4</v>
      </c>
      <c r="G99" s="27">
        <v>69.3</v>
      </c>
      <c r="H99" s="36">
        <f t="shared" si="21"/>
        <v>86.39630999999999</v>
      </c>
      <c r="I99" s="37">
        <f t="shared" si="22"/>
        <v>345.58523999999994</v>
      </c>
      <c r="J99" s="30"/>
    </row>
    <row r="100" spans="1:10" ht="42.75" customHeight="1">
      <c r="A100" s="41" t="s">
        <v>243</v>
      </c>
      <c r="B100" s="63" t="s">
        <v>244</v>
      </c>
      <c r="C100" s="24" t="s">
        <v>32</v>
      </c>
      <c r="D100" s="24" t="s">
        <v>245</v>
      </c>
      <c r="E100" s="41" t="s">
        <v>23</v>
      </c>
      <c r="F100" s="35">
        <f>37*2</f>
        <v>74</v>
      </c>
      <c r="G100" s="27">
        <v>14.56</v>
      </c>
      <c r="H100" s="36">
        <f t="shared" si="21"/>
        <v>18.151951999999998</v>
      </c>
      <c r="I100" s="37">
        <f t="shared" si="22"/>
        <v>1343.244448</v>
      </c>
      <c r="J100" s="30"/>
    </row>
    <row r="101" spans="1:10" ht="18" customHeight="1">
      <c r="A101" s="39" t="s">
        <v>246</v>
      </c>
      <c r="B101" s="40" t="s">
        <v>247</v>
      </c>
      <c r="C101" s="24" t="s">
        <v>26</v>
      </c>
      <c r="D101" s="24" t="s">
        <v>248</v>
      </c>
      <c r="E101" s="41" t="s">
        <v>23</v>
      </c>
      <c r="F101" s="35">
        <f>2.78*1.8</f>
        <v>5.004</v>
      </c>
      <c r="G101" s="27">
        <v>162.59</v>
      </c>
      <c r="H101" s="36">
        <f t="shared" si="21"/>
        <v>202.700953</v>
      </c>
      <c r="I101" s="37">
        <f t="shared" si="22"/>
        <v>1014.3155688119999</v>
      </c>
      <c r="J101" s="30"/>
    </row>
    <row r="102" spans="1:10" ht="18" customHeight="1">
      <c r="A102" s="39" t="s">
        <v>249</v>
      </c>
      <c r="B102" s="40" t="s">
        <v>250</v>
      </c>
      <c r="C102" s="24" t="s">
        <v>26</v>
      </c>
      <c r="D102" s="24" t="s">
        <v>251</v>
      </c>
      <c r="E102" s="41" t="s">
        <v>61</v>
      </c>
      <c r="F102" s="35">
        <f>14.35+14.35</f>
        <v>28.7</v>
      </c>
      <c r="G102" s="27">
        <v>89.23</v>
      </c>
      <c r="H102" s="36">
        <f t="shared" si="21"/>
        <v>111.24304099999999</v>
      </c>
      <c r="I102" s="37">
        <f t="shared" si="22"/>
        <v>3192.6752767</v>
      </c>
      <c r="J102" s="30"/>
    </row>
    <row r="103" spans="1:10" ht="18" customHeight="1">
      <c r="A103" s="39" t="s">
        <v>252</v>
      </c>
      <c r="B103" s="40" t="s">
        <v>253</v>
      </c>
      <c r="C103" s="24" t="s">
        <v>32</v>
      </c>
      <c r="D103" s="24">
        <v>9537</v>
      </c>
      <c r="E103" s="41" t="s">
        <v>171</v>
      </c>
      <c r="F103" s="35">
        <v>301.07</v>
      </c>
      <c r="G103" s="27">
        <v>1.49</v>
      </c>
      <c r="H103" s="36">
        <f t="shared" si="21"/>
        <v>1.8575829999999998</v>
      </c>
      <c r="I103" s="37">
        <f t="shared" si="22"/>
        <v>559.2625138099999</v>
      </c>
      <c r="J103" s="30"/>
    </row>
    <row r="104" spans="1:10" ht="18" customHeight="1">
      <c r="A104" s="66" t="s">
        <v>254</v>
      </c>
      <c r="B104" s="66"/>
      <c r="C104" s="66"/>
      <c r="D104" s="66"/>
      <c r="E104" s="66"/>
      <c r="F104" s="66"/>
      <c r="G104" s="66"/>
      <c r="H104" s="66"/>
      <c r="I104" s="37">
        <f>SUM(I13:I103)/2</f>
        <v>123968.12278559797</v>
      </c>
      <c r="J104" s="67"/>
    </row>
    <row r="105" spans="1:9" ht="18" customHeight="1">
      <c r="A105" s="68" t="s">
        <v>255</v>
      </c>
      <c r="B105" s="68"/>
      <c r="C105" s="68"/>
      <c r="D105" s="68"/>
      <c r="E105" s="68"/>
      <c r="F105" s="68"/>
      <c r="G105" s="68"/>
      <c r="H105" s="68"/>
      <c r="I105" s="68"/>
    </row>
    <row r="106" spans="1:9" ht="18" customHeight="1">
      <c r="A106" s="22" t="s">
        <v>256</v>
      </c>
      <c r="B106" s="69" t="s">
        <v>18</v>
      </c>
      <c r="C106" s="22"/>
      <c r="D106" s="70"/>
      <c r="E106" s="22"/>
      <c r="F106" s="69" t="s">
        <v>257</v>
      </c>
      <c r="G106" s="22" t="s">
        <v>258</v>
      </c>
      <c r="H106" s="70" t="s">
        <v>259</v>
      </c>
      <c r="I106" s="29">
        <f>SUM(I107:I108)</f>
        <v>201.5036184</v>
      </c>
    </row>
    <row r="107" spans="1:9" ht="18" customHeight="1">
      <c r="A107" s="39" t="s">
        <v>260</v>
      </c>
      <c r="B107" s="40" t="s">
        <v>261</v>
      </c>
      <c r="C107" s="39" t="s">
        <v>32</v>
      </c>
      <c r="D107" s="41" t="s">
        <v>262</v>
      </c>
      <c r="E107" s="39" t="s">
        <v>263</v>
      </c>
      <c r="F107" s="40">
        <v>15.58</v>
      </c>
      <c r="G107" s="39">
        <v>2.47</v>
      </c>
      <c r="H107" s="71">
        <f aca="true" t="shared" si="23" ref="H107:H110">G107*1.246</f>
        <v>3.07762</v>
      </c>
      <c r="I107" s="72">
        <f aca="true" t="shared" si="24" ref="I107:I108">F107*H107</f>
        <v>47.9493196</v>
      </c>
    </row>
    <row r="108" spans="1:9" ht="18" customHeight="1">
      <c r="A108" s="41" t="s">
        <v>264</v>
      </c>
      <c r="B108" s="63" t="s">
        <v>265</v>
      </c>
      <c r="C108" s="41" t="s">
        <v>32</v>
      </c>
      <c r="D108" s="7" t="s">
        <v>266</v>
      </c>
      <c r="E108" s="41" t="s">
        <v>263</v>
      </c>
      <c r="F108" s="63">
        <v>15.58</v>
      </c>
      <c r="G108" s="41">
        <v>7.91</v>
      </c>
      <c r="H108" s="73">
        <f t="shared" si="23"/>
        <v>9.85586</v>
      </c>
      <c r="I108" s="72">
        <f t="shared" si="24"/>
        <v>153.5542988</v>
      </c>
    </row>
    <row r="109" spans="1:9" ht="18" customHeight="1">
      <c r="A109" s="64" t="s">
        <v>267</v>
      </c>
      <c r="B109" s="23" t="s">
        <v>29</v>
      </c>
      <c r="C109" s="64"/>
      <c r="D109" s="22"/>
      <c r="E109" s="64"/>
      <c r="F109" s="23"/>
      <c r="G109" s="64"/>
      <c r="H109" s="74">
        <f t="shared" si="23"/>
        <v>0</v>
      </c>
      <c r="I109" s="29">
        <f>SUM(I110:I113)</f>
        <v>1870.0102875999999</v>
      </c>
    </row>
    <row r="110" spans="1:9" ht="18" customHeight="1">
      <c r="A110" s="41" t="s">
        <v>268</v>
      </c>
      <c r="B110" s="63" t="s">
        <v>269</v>
      </c>
      <c r="C110" s="41" t="s">
        <v>32</v>
      </c>
      <c r="D110" s="7" t="s">
        <v>270</v>
      </c>
      <c r="E110" s="41" t="s">
        <v>271</v>
      </c>
      <c r="F110" s="63">
        <v>15.58</v>
      </c>
      <c r="G110" s="41">
        <v>74.31</v>
      </c>
      <c r="H110" s="73">
        <f t="shared" si="23"/>
        <v>92.59026</v>
      </c>
      <c r="I110" s="72">
        <f aca="true" t="shared" si="25" ref="I110:I113">F110*H110</f>
        <v>1442.5562508</v>
      </c>
    </row>
    <row r="111" spans="1:9" ht="18" customHeight="1">
      <c r="A111" s="39" t="s">
        <v>272</v>
      </c>
      <c r="B111" s="40" t="s">
        <v>273</v>
      </c>
      <c r="C111" s="39" t="s">
        <v>32</v>
      </c>
      <c r="D111" s="41" t="s">
        <v>33</v>
      </c>
      <c r="E111" s="39" t="s">
        <v>271</v>
      </c>
      <c r="F111" s="40">
        <v>3.29</v>
      </c>
      <c r="G111" s="39">
        <v>68.22</v>
      </c>
      <c r="H111" s="71">
        <v>85.05</v>
      </c>
      <c r="I111" s="72">
        <f t="shared" si="25"/>
        <v>279.8145</v>
      </c>
    </row>
    <row r="112" spans="1:9" ht="18" customHeight="1">
      <c r="A112" s="41" t="s">
        <v>274</v>
      </c>
      <c r="B112" s="63" t="s">
        <v>275</v>
      </c>
      <c r="C112" s="41" t="s">
        <v>32</v>
      </c>
      <c r="D112" s="7">
        <v>72857</v>
      </c>
      <c r="E112" s="41" t="s">
        <v>263</v>
      </c>
      <c r="F112" s="63">
        <v>6.44</v>
      </c>
      <c r="G112" s="41">
        <v>2.57</v>
      </c>
      <c r="H112" s="73">
        <f aca="true" t="shared" si="26" ref="H112:H127">G112*1.246</f>
        <v>3.2022199999999996</v>
      </c>
      <c r="I112" s="72">
        <f t="shared" si="25"/>
        <v>20.622296799999997</v>
      </c>
    </row>
    <row r="113" spans="1:9" ht="18" customHeight="1">
      <c r="A113" s="39" t="s">
        <v>276</v>
      </c>
      <c r="B113" s="40" t="s">
        <v>277</v>
      </c>
      <c r="C113" s="39" t="s">
        <v>32</v>
      </c>
      <c r="D113" s="41">
        <v>72897</v>
      </c>
      <c r="E113" s="39" t="s">
        <v>271</v>
      </c>
      <c r="F113" s="40">
        <v>6</v>
      </c>
      <c r="G113" s="39">
        <v>16.99</v>
      </c>
      <c r="H113" s="71">
        <f t="shared" si="26"/>
        <v>21.169539999999998</v>
      </c>
      <c r="I113" s="72">
        <f t="shared" si="25"/>
        <v>127.01723999999999</v>
      </c>
    </row>
    <row r="114" spans="1:9" ht="18" customHeight="1">
      <c r="A114" s="22" t="s">
        <v>278</v>
      </c>
      <c r="B114" s="69" t="s">
        <v>38</v>
      </c>
      <c r="C114" s="22"/>
      <c r="D114" s="70"/>
      <c r="E114" s="22"/>
      <c r="F114" s="69"/>
      <c r="G114" s="22"/>
      <c r="H114" s="75">
        <f t="shared" si="26"/>
        <v>0</v>
      </c>
      <c r="I114" s="29">
        <f>SUM(I115:I118)</f>
        <v>4544.139322800001</v>
      </c>
    </row>
    <row r="115" spans="1:9" ht="18" customHeight="1">
      <c r="A115" s="39" t="s">
        <v>279</v>
      </c>
      <c r="B115" s="40" t="s">
        <v>280</v>
      </c>
      <c r="C115" s="39" t="s">
        <v>32</v>
      </c>
      <c r="D115" s="41" t="s">
        <v>281</v>
      </c>
      <c r="E115" s="39" t="s">
        <v>271</v>
      </c>
      <c r="F115" s="40">
        <v>3.22</v>
      </c>
      <c r="G115" s="39">
        <v>334.05</v>
      </c>
      <c r="H115" s="71">
        <f t="shared" si="26"/>
        <v>416.22630000000004</v>
      </c>
      <c r="I115" s="72">
        <f aca="true" t="shared" si="27" ref="I115:I118">F115*H115</f>
        <v>1340.2486860000001</v>
      </c>
    </row>
    <row r="116" spans="1:9" ht="18" customHeight="1">
      <c r="A116" s="41" t="s">
        <v>282</v>
      </c>
      <c r="B116" s="63" t="s">
        <v>283</v>
      </c>
      <c r="C116" s="41" t="s">
        <v>32</v>
      </c>
      <c r="D116" s="7">
        <v>6122</v>
      </c>
      <c r="E116" s="41" t="s">
        <v>263</v>
      </c>
      <c r="F116" s="63">
        <v>4.83</v>
      </c>
      <c r="G116" s="41">
        <v>307.56</v>
      </c>
      <c r="H116" s="73">
        <f t="shared" si="26"/>
        <v>383.21976</v>
      </c>
      <c r="I116" s="72">
        <f t="shared" si="27"/>
        <v>1850.9514408</v>
      </c>
    </row>
    <row r="117" spans="1:9" ht="18" customHeight="1">
      <c r="A117" s="39" t="s">
        <v>284</v>
      </c>
      <c r="B117" s="40" t="s">
        <v>285</v>
      </c>
      <c r="C117" s="39" t="s">
        <v>32</v>
      </c>
      <c r="D117" s="41">
        <v>73346</v>
      </c>
      <c r="E117" s="39" t="s">
        <v>271</v>
      </c>
      <c r="F117" s="40">
        <v>0.48</v>
      </c>
      <c r="G117" s="39">
        <v>1637.86</v>
      </c>
      <c r="H117" s="71">
        <f t="shared" si="26"/>
        <v>2040.7735599999999</v>
      </c>
      <c r="I117" s="72">
        <f t="shared" si="27"/>
        <v>979.5713087999999</v>
      </c>
    </row>
    <row r="118" spans="1:9" ht="18" customHeight="1">
      <c r="A118" s="41" t="s">
        <v>286</v>
      </c>
      <c r="B118" s="63" t="s">
        <v>287</v>
      </c>
      <c r="C118" s="41" t="s">
        <v>32</v>
      </c>
      <c r="D118" s="7" t="s">
        <v>288</v>
      </c>
      <c r="E118" s="41" t="s">
        <v>289</v>
      </c>
      <c r="F118" s="63">
        <v>13.16</v>
      </c>
      <c r="G118" s="41">
        <v>22.77</v>
      </c>
      <c r="H118" s="73">
        <f t="shared" si="26"/>
        <v>28.37142</v>
      </c>
      <c r="I118" s="72">
        <f t="shared" si="27"/>
        <v>373.3678872</v>
      </c>
    </row>
    <row r="119" spans="1:9" ht="18" customHeight="1">
      <c r="A119" s="64" t="s">
        <v>290</v>
      </c>
      <c r="B119" s="23" t="s">
        <v>49</v>
      </c>
      <c r="C119" s="64"/>
      <c r="D119" s="22"/>
      <c r="E119" s="64"/>
      <c r="F119" s="23"/>
      <c r="G119" s="64"/>
      <c r="H119" s="74">
        <f t="shared" si="26"/>
        <v>0</v>
      </c>
      <c r="I119" s="29">
        <f>I120</f>
        <v>2871.5117886000003</v>
      </c>
    </row>
    <row r="120" spans="1:9" ht="18" customHeight="1">
      <c r="A120" s="41" t="s">
        <v>291</v>
      </c>
      <c r="B120" s="63" t="s">
        <v>292</v>
      </c>
      <c r="C120" s="41" t="s">
        <v>32</v>
      </c>
      <c r="D120" s="7" t="s">
        <v>293</v>
      </c>
      <c r="E120" s="41" t="s">
        <v>263</v>
      </c>
      <c r="F120" s="63">
        <v>44.43</v>
      </c>
      <c r="G120" s="41">
        <v>51.87</v>
      </c>
      <c r="H120" s="73">
        <f t="shared" si="26"/>
        <v>64.63002</v>
      </c>
      <c r="I120" s="72">
        <f>F120*H120</f>
        <v>2871.5117886000003</v>
      </c>
    </row>
    <row r="121" spans="1:9" ht="18" customHeight="1">
      <c r="A121" s="64" t="s">
        <v>294</v>
      </c>
      <c r="B121" s="23" t="s">
        <v>53</v>
      </c>
      <c r="C121" s="64"/>
      <c r="D121" s="22"/>
      <c r="E121" s="64"/>
      <c r="F121" s="23"/>
      <c r="G121" s="64"/>
      <c r="H121" s="74">
        <f t="shared" si="26"/>
        <v>0</v>
      </c>
      <c r="I121" s="29">
        <f>SUM(I122:I125)</f>
        <v>3635.085384</v>
      </c>
    </row>
    <row r="122" spans="1:9" ht="18" customHeight="1">
      <c r="A122" s="41" t="s">
        <v>295</v>
      </c>
      <c r="B122" s="63" t="s">
        <v>296</v>
      </c>
      <c r="C122" s="41" t="s">
        <v>32</v>
      </c>
      <c r="D122" s="7">
        <v>72076</v>
      </c>
      <c r="E122" s="41" t="s">
        <v>263</v>
      </c>
      <c r="F122" s="63">
        <v>25.5</v>
      </c>
      <c r="G122" s="41">
        <v>62.49</v>
      </c>
      <c r="H122" s="73">
        <f t="shared" si="26"/>
        <v>77.86254</v>
      </c>
      <c r="I122" s="72">
        <f aca="true" t="shared" si="28" ref="I122:I125">F122*H122</f>
        <v>1985.4947699999998</v>
      </c>
    </row>
    <row r="123" spans="1:9" ht="18" customHeight="1">
      <c r="A123" s="39" t="s">
        <v>297</v>
      </c>
      <c r="B123" s="40" t="s">
        <v>298</v>
      </c>
      <c r="C123" s="39" t="s">
        <v>32</v>
      </c>
      <c r="D123" s="41" t="s">
        <v>299</v>
      </c>
      <c r="E123" s="39" t="s">
        <v>263</v>
      </c>
      <c r="F123" s="40">
        <v>25.5</v>
      </c>
      <c r="G123" s="39">
        <v>35.16</v>
      </c>
      <c r="H123" s="71">
        <f t="shared" si="26"/>
        <v>43.80936</v>
      </c>
      <c r="I123" s="72">
        <f t="shared" si="28"/>
        <v>1117.13868</v>
      </c>
    </row>
    <row r="124" spans="1:9" ht="18" customHeight="1">
      <c r="A124" s="41" t="s">
        <v>300</v>
      </c>
      <c r="B124" s="63" t="s">
        <v>301</v>
      </c>
      <c r="C124" s="41" t="s">
        <v>32</v>
      </c>
      <c r="D124" s="7">
        <v>55960</v>
      </c>
      <c r="E124" s="41" t="s">
        <v>61</v>
      </c>
      <c r="F124" s="63">
        <v>25.5</v>
      </c>
      <c r="G124" s="41">
        <v>4.07</v>
      </c>
      <c r="H124" s="73">
        <f t="shared" si="26"/>
        <v>5.07122</v>
      </c>
      <c r="I124" s="72">
        <f t="shared" si="28"/>
        <v>129.31611</v>
      </c>
    </row>
    <row r="125" spans="1:9" ht="18" customHeight="1">
      <c r="A125" s="39" t="s">
        <v>302</v>
      </c>
      <c r="B125" s="40" t="s">
        <v>303</v>
      </c>
      <c r="C125" s="39" t="s">
        <v>32</v>
      </c>
      <c r="D125" s="41">
        <v>6058</v>
      </c>
      <c r="E125" s="39" t="s">
        <v>61</v>
      </c>
      <c r="F125" s="40">
        <v>20.4</v>
      </c>
      <c r="G125" s="39">
        <v>15.86</v>
      </c>
      <c r="H125" s="71">
        <f t="shared" si="26"/>
        <v>19.76156</v>
      </c>
      <c r="I125" s="72">
        <f t="shared" si="28"/>
        <v>403.13582399999996</v>
      </c>
    </row>
    <row r="126" spans="1:9" ht="18" customHeight="1">
      <c r="A126" s="22" t="s">
        <v>304</v>
      </c>
      <c r="B126" s="69" t="s">
        <v>305</v>
      </c>
      <c r="C126" s="22"/>
      <c r="D126" s="70"/>
      <c r="E126" s="22"/>
      <c r="F126" s="69"/>
      <c r="G126" s="22"/>
      <c r="H126" s="75">
        <f t="shared" si="26"/>
        <v>0</v>
      </c>
      <c r="I126" s="29">
        <f>SUM(I127:I128)</f>
        <v>477.26239999999996</v>
      </c>
    </row>
    <row r="127" spans="1:9" ht="18" customHeight="1">
      <c r="A127" s="39" t="s">
        <v>306</v>
      </c>
      <c r="B127" s="40" t="s">
        <v>307</v>
      </c>
      <c r="C127" s="39" t="s">
        <v>32</v>
      </c>
      <c r="D127" s="41">
        <v>72331</v>
      </c>
      <c r="E127" s="39" t="s">
        <v>308</v>
      </c>
      <c r="F127" s="40">
        <v>4</v>
      </c>
      <c r="G127" s="39">
        <v>8.6</v>
      </c>
      <c r="H127" s="71">
        <f t="shared" si="26"/>
        <v>10.7156</v>
      </c>
      <c r="I127" s="72">
        <f aca="true" t="shared" si="29" ref="I127:I128">F127*H127</f>
        <v>42.8624</v>
      </c>
    </row>
    <row r="128" spans="1:9" ht="18" customHeight="1">
      <c r="A128" s="41" t="s">
        <v>309</v>
      </c>
      <c r="B128" s="63" t="s">
        <v>310</v>
      </c>
      <c r="C128" s="41" t="s">
        <v>32</v>
      </c>
      <c r="D128" s="7" t="s">
        <v>93</v>
      </c>
      <c r="E128" s="41" t="s">
        <v>308</v>
      </c>
      <c r="F128" s="63">
        <v>4</v>
      </c>
      <c r="G128" s="41">
        <v>87.11</v>
      </c>
      <c r="H128" s="73">
        <v>108.6</v>
      </c>
      <c r="I128" s="72">
        <f t="shared" si="29"/>
        <v>434.4</v>
      </c>
    </row>
    <row r="129" spans="1:9" ht="18" customHeight="1">
      <c r="A129" s="64" t="s">
        <v>311</v>
      </c>
      <c r="B129" s="23" t="s">
        <v>312</v>
      </c>
      <c r="C129" s="64"/>
      <c r="D129" s="22"/>
      <c r="E129" s="64"/>
      <c r="F129" s="23"/>
      <c r="G129" s="64"/>
      <c r="H129" s="74">
        <f aca="true" t="shared" si="30" ref="H129:H139">G129*1.246</f>
        <v>0</v>
      </c>
      <c r="I129" s="29">
        <f>SUM(I130:I136)</f>
        <v>2253.3909999999996</v>
      </c>
    </row>
    <row r="130" spans="1:9" ht="18" customHeight="1">
      <c r="A130" s="41" t="s">
        <v>313</v>
      </c>
      <c r="B130" s="63" t="s">
        <v>314</v>
      </c>
      <c r="C130" s="41" t="s">
        <v>32</v>
      </c>
      <c r="D130" s="7">
        <v>73663</v>
      </c>
      <c r="E130" s="41" t="s">
        <v>308</v>
      </c>
      <c r="F130" s="63">
        <v>1</v>
      </c>
      <c r="G130" s="41">
        <v>70.94</v>
      </c>
      <c r="H130" s="73">
        <f t="shared" si="30"/>
        <v>88.39124</v>
      </c>
      <c r="I130" s="72">
        <f aca="true" t="shared" si="31" ref="I130:I136">F130*H130</f>
        <v>88.39124</v>
      </c>
    </row>
    <row r="131" spans="1:9" ht="18" customHeight="1">
      <c r="A131" s="39" t="s">
        <v>315</v>
      </c>
      <c r="B131" s="63" t="s">
        <v>316</v>
      </c>
      <c r="C131" s="39" t="s">
        <v>32</v>
      </c>
      <c r="D131" s="41" t="s">
        <v>317</v>
      </c>
      <c r="E131" s="39" t="s">
        <v>308</v>
      </c>
      <c r="F131" s="40">
        <v>1</v>
      </c>
      <c r="G131" s="39">
        <v>107.8</v>
      </c>
      <c r="H131" s="71">
        <f t="shared" si="30"/>
        <v>134.3188</v>
      </c>
      <c r="I131" s="72">
        <f t="shared" si="31"/>
        <v>134.3188</v>
      </c>
    </row>
    <row r="132" spans="1:9" ht="18" customHeight="1">
      <c r="A132" s="41" t="s">
        <v>318</v>
      </c>
      <c r="B132" s="63" t="s">
        <v>319</v>
      </c>
      <c r="C132" s="41" t="s">
        <v>32</v>
      </c>
      <c r="D132" s="7">
        <v>72289</v>
      </c>
      <c r="E132" s="41" t="s">
        <v>308</v>
      </c>
      <c r="F132" s="63">
        <v>4</v>
      </c>
      <c r="G132" s="41">
        <v>260.04</v>
      </c>
      <c r="H132" s="73">
        <f t="shared" si="30"/>
        <v>324.00984</v>
      </c>
      <c r="I132" s="72">
        <f t="shared" si="31"/>
        <v>1296.03936</v>
      </c>
    </row>
    <row r="133" spans="1:9" ht="18" customHeight="1">
      <c r="A133" s="39" t="s">
        <v>320</v>
      </c>
      <c r="B133" s="40" t="s">
        <v>321</v>
      </c>
      <c r="C133" s="76" t="s">
        <v>322</v>
      </c>
      <c r="D133" s="41" t="s">
        <v>323</v>
      </c>
      <c r="E133" s="39" t="s">
        <v>61</v>
      </c>
      <c r="F133" s="40">
        <v>20</v>
      </c>
      <c r="G133" s="39">
        <v>11.04</v>
      </c>
      <c r="H133" s="71">
        <f t="shared" si="30"/>
        <v>13.75584</v>
      </c>
      <c r="I133" s="72">
        <f t="shared" si="31"/>
        <v>275.1168</v>
      </c>
    </row>
    <row r="134" spans="1:9" ht="18" customHeight="1">
      <c r="A134" s="41" t="s">
        <v>324</v>
      </c>
      <c r="B134" s="63" t="s">
        <v>325</v>
      </c>
      <c r="C134" s="41" t="s">
        <v>32</v>
      </c>
      <c r="D134" s="7">
        <v>89957</v>
      </c>
      <c r="E134" s="41" t="s">
        <v>308</v>
      </c>
      <c r="F134" s="63">
        <v>4</v>
      </c>
      <c r="G134" s="41">
        <v>40.54</v>
      </c>
      <c r="H134" s="73">
        <f t="shared" si="30"/>
        <v>50.51284</v>
      </c>
      <c r="I134" s="72">
        <f t="shared" si="31"/>
        <v>202.05136</v>
      </c>
    </row>
    <row r="135" spans="1:9" ht="18" customHeight="1">
      <c r="A135" s="39" t="s">
        <v>326</v>
      </c>
      <c r="B135" s="40" t="s">
        <v>327</v>
      </c>
      <c r="C135" s="39" t="s">
        <v>32</v>
      </c>
      <c r="D135" s="41">
        <v>86911</v>
      </c>
      <c r="E135" s="39" t="s">
        <v>308</v>
      </c>
      <c r="F135" s="40">
        <v>4</v>
      </c>
      <c r="G135" s="39">
        <v>27.07</v>
      </c>
      <c r="H135" s="71">
        <f t="shared" si="30"/>
        <v>33.72922</v>
      </c>
      <c r="I135" s="72">
        <f t="shared" si="31"/>
        <v>134.91688</v>
      </c>
    </row>
    <row r="136" spans="1:9" ht="18" customHeight="1">
      <c r="A136" s="41" t="s">
        <v>328</v>
      </c>
      <c r="B136" s="77" t="s">
        <v>329</v>
      </c>
      <c r="C136" s="78" t="s">
        <v>322</v>
      </c>
      <c r="D136" s="7" t="s">
        <v>330</v>
      </c>
      <c r="E136" s="41" t="s">
        <v>331</v>
      </c>
      <c r="F136" s="63">
        <v>4</v>
      </c>
      <c r="G136" s="41">
        <v>24.59</v>
      </c>
      <c r="H136" s="73">
        <f t="shared" si="30"/>
        <v>30.63914</v>
      </c>
      <c r="I136" s="72">
        <f t="shared" si="31"/>
        <v>122.55656</v>
      </c>
    </row>
    <row r="137" spans="1:9" ht="18" customHeight="1">
      <c r="A137" s="64" t="s">
        <v>332</v>
      </c>
      <c r="B137" s="23" t="s">
        <v>153</v>
      </c>
      <c r="C137" s="64"/>
      <c r="D137" s="22"/>
      <c r="E137" s="64"/>
      <c r="F137" s="23"/>
      <c r="G137" s="64"/>
      <c r="H137" s="74">
        <f t="shared" si="30"/>
        <v>0</v>
      </c>
      <c r="I137" s="29">
        <f>I138</f>
        <v>411.0818152</v>
      </c>
    </row>
    <row r="138" spans="1:9" ht="18" customHeight="1">
      <c r="A138" s="41" t="s">
        <v>333</v>
      </c>
      <c r="B138" s="63" t="s">
        <v>334</v>
      </c>
      <c r="C138" s="41" t="s">
        <v>32</v>
      </c>
      <c r="D138" s="7" t="s">
        <v>335</v>
      </c>
      <c r="E138" s="41" t="s">
        <v>263</v>
      </c>
      <c r="F138" s="63">
        <v>13.16</v>
      </c>
      <c r="G138" s="41">
        <v>25.07</v>
      </c>
      <c r="H138" s="73">
        <f t="shared" si="30"/>
        <v>31.23722</v>
      </c>
      <c r="I138" s="72">
        <f>F138*H138</f>
        <v>411.0818152</v>
      </c>
    </row>
    <row r="139" spans="1:9" ht="18" customHeight="1">
      <c r="A139" s="64" t="s">
        <v>336</v>
      </c>
      <c r="B139" s="23" t="s">
        <v>173</v>
      </c>
      <c r="C139" s="64"/>
      <c r="D139" s="22"/>
      <c r="E139" s="64"/>
      <c r="F139" s="23"/>
      <c r="G139" s="64"/>
      <c r="H139" s="74">
        <f t="shared" si="30"/>
        <v>0</v>
      </c>
      <c r="I139" s="29">
        <f>SUM(I140:I141)</f>
        <v>1954.6940559999998</v>
      </c>
    </row>
    <row r="140" spans="1:9" ht="18" customHeight="1">
      <c r="A140" s="41" t="s">
        <v>337</v>
      </c>
      <c r="B140" s="63" t="s">
        <v>338</v>
      </c>
      <c r="C140" s="41" t="s">
        <v>32</v>
      </c>
      <c r="D140" s="7">
        <v>68054</v>
      </c>
      <c r="E140" s="41" t="s">
        <v>263</v>
      </c>
      <c r="F140" s="63">
        <v>6.72</v>
      </c>
      <c r="G140" s="41">
        <v>145.71</v>
      </c>
      <c r="H140" s="73">
        <v>181.66</v>
      </c>
      <c r="I140" s="72">
        <f aca="true" t="shared" si="32" ref="I140:I141">F140*H140</f>
        <v>1220.7551999999998</v>
      </c>
    </row>
    <row r="141" spans="1:9" ht="18" customHeight="1">
      <c r="A141" s="39" t="s">
        <v>339</v>
      </c>
      <c r="B141" s="40" t="s">
        <v>340</v>
      </c>
      <c r="C141" s="39" t="s">
        <v>32</v>
      </c>
      <c r="D141" s="41" t="s">
        <v>341</v>
      </c>
      <c r="E141" s="39" t="s">
        <v>263</v>
      </c>
      <c r="F141" s="40">
        <v>2.8</v>
      </c>
      <c r="G141" s="39">
        <v>210.37</v>
      </c>
      <c r="H141" s="71">
        <f aca="true" t="shared" si="33" ref="H141:H143">G141*1.246</f>
        <v>262.12102</v>
      </c>
      <c r="I141" s="72">
        <f t="shared" si="32"/>
        <v>733.9388559999999</v>
      </c>
    </row>
    <row r="142" spans="1:9" ht="18" customHeight="1">
      <c r="A142" s="22" t="s">
        <v>342</v>
      </c>
      <c r="B142" s="69" t="s">
        <v>187</v>
      </c>
      <c r="C142" s="22"/>
      <c r="D142" s="70"/>
      <c r="E142" s="22"/>
      <c r="F142" s="69"/>
      <c r="G142" s="22"/>
      <c r="H142" s="75">
        <f t="shared" si="33"/>
        <v>0</v>
      </c>
      <c r="I142" s="29">
        <f>SUM(I143:I146)</f>
        <v>3306.9169404</v>
      </c>
    </row>
    <row r="143" spans="1:9" ht="18" customHeight="1">
      <c r="A143" s="39" t="s">
        <v>343</v>
      </c>
      <c r="B143" s="40" t="s">
        <v>344</v>
      </c>
      <c r="C143" s="39" t="s">
        <v>32</v>
      </c>
      <c r="D143" s="41">
        <v>87873</v>
      </c>
      <c r="E143" s="39" t="s">
        <v>263</v>
      </c>
      <c r="F143" s="40">
        <v>88.86</v>
      </c>
      <c r="G143" s="39">
        <v>2.99</v>
      </c>
      <c r="H143" s="71">
        <f t="shared" si="33"/>
        <v>3.72554</v>
      </c>
      <c r="I143" s="72">
        <f aca="true" t="shared" si="34" ref="I143:I146">F143*H143</f>
        <v>331.0514844</v>
      </c>
    </row>
    <row r="144" spans="1:9" ht="18" customHeight="1">
      <c r="A144" s="41" t="s">
        <v>345</v>
      </c>
      <c r="B144" s="63" t="s">
        <v>346</v>
      </c>
      <c r="C144" s="41" t="s">
        <v>32</v>
      </c>
      <c r="D144" s="7">
        <v>75481</v>
      </c>
      <c r="E144" s="41" t="s">
        <v>263</v>
      </c>
      <c r="F144" s="63">
        <v>57.66</v>
      </c>
      <c r="G144" s="41">
        <v>14.19</v>
      </c>
      <c r="H144" s="73">
        <v>14.34</v>
      </c>
      <c r="I144" s="72">
        <f t="shared" si="34"/>
        <v>826.8444</v>
      </c>
    </row>
    <row r="145" spans="1:9" ht="18" customHeight="1">
      <c r="A145" s="39" t="s">
        <v>347</v>
      </c>
      <c r="B145" s="40" t="s">
        <v>348</v>
      </c>
      <c r="C145" s="39" t="s">
        <v>32</v>
      </c>
      <c r="D145" s="41">
        <v>73397</v>
      </c>
      <c r="E145" s="39" t="s">
        <v>263</v>
      </c>
      <c r="F145" s="40">
        <v>31.2</v>
      </c>
      <c r="G145" s="39">
        <v>21.5</v>
      </c>
      <c r="H145" s="71">
        <f aca="true" t="shared" si="35" ref="H145:H148">G145*1.246</f>
        <v>26.789</v>
      </c>
      <c r="I145" s="72">
        <f t="shared" si="34"/>
        <v>835.8168000000001</v>
      </c>
    </row>
    <row r="146" spans="1:9" ht="18" customHeight="1">
      <c r="A146" s="41" t="s">
        <v>349</v>
      </c>
      <c r="B146" s="63" t="s">
        <v>350</v>
      </c>
      <c r="C146" s="41" t="s">
        <v>32</v>
      </c>
      <c r="D146" s="7">
        <v>87264</v>
      </c>
      <c r="E146" s="41" t="s">
        <v>263</v>
      </c>
      <c r="F146" s="63">
        <v>31.2</v>
      </c>
      <c r="G146" s="41">
        <v>33.78</v>
      </c>
      <c r="H146" s="73">
        <f t="shared" si="35"/>
        <v>42.08988</v>
      </c>
      <c r="I146" s="72">
        <f t="shared" si="34"/>
        <v>1313.204256</v>
      </c>
    </row>
    <row r="147" spans="1:9" ht="18" customHeight="1">
      <c r="A147" s="64" t="s">
        <v>351</v>
      </c>
      <c r="B147" s="23" t="s">
        <v>195</v>
      </c>
      <c r="C147" s="64"/>
      <c r="D147" s="22"/>
      <c r="E147" s="64"/>
      <c r="F147" s="23"/>
      <c r="G147" s="64"/>
      <c r="H147" s="74">
        <f t="shared" si="35"/>
        <v>0</v>
      </c>
      <c r="I147" s="29">
        <f>SUM(I148:I149)</f>
        <v>967.2096671999999</v>
      </c>
    </row>
    <row r="148" spans="1:9" ht="18" customHeight="1">
      <c r="A148" s="41" t="s">
        <v>352</v>
      </c>
      <c r="B148" s="63" t="s">
        <v>353</v>
      </c>
      <c r="C148" s="41" t="s">
        <v>32</v>
      </c>
      <c r="D148" s="7" t="s">
        <v>354</v>
      </c>
      <c r="E148" s="41" t="s">
        <v>263</v>
      </c>
      <c r="F148" s="63">
        <v>57.66</v>
      </c>
      <c r="G148" s="41">
        <v>5.52</v>
      </c>
      <c r="H148" s="73">
        <f t="shared" si="35"/>
        <v>6.87792</v>
      </c>
      <c r="I148" s="72">
        <f aca="true" t="shared" si="36" ref="I148:I149">F148*H148</f>
        <v>396.58086719999994</v>
      </c>
    </row>
    <row r="149" spans="1:9" ht="18" customHeight="1">
      <c r="A149" s="39" t="s">
        <v>355</v>
      </c>
      <c r="B149" s="40" t="s">
        <v>356</v>
      </c>
      <c r="C149" s="39" t="s">
        <v>32</v>
      </c>
      <c r="D149" s="41">
        <v>6067</v>
      </c>
      <c r="E149" s="39" t="s">
        <v>263</v>
      </c>
      <c r="F149" s="40">
        <v>19.04</v>
      </c>
      <c r="G149" s="39">
        <v>24.04</v>
      </c>
      <c r="H149" s="71">
        <v>29.97</v>
      </c>
      <c r="I149" s="72">
        <f t="shared" si="36"/>
        <v>570.6288</v>
      </c>
    </row>
    <row r="150" spans="1:9" ht="18" customHeight="1">
      <c r="A150" s="22" t="s">
        <v>357</v>
      </c>
      <c r="B150" s="69" t="s">
        <v>221</v>
      </c>
      <c r="C150" s="22"/>
      <c r="D150" s="70"/>
      <c r="E150" s="22"/>
      <c r="F150" s="69"/>
      <c r="G150" s="22"/>
      <c r="H150" s="75">
        <f aca="true" t="shared" si="37" ref="H150:H154">G150*1.246</f>
        <v>0</v>
      </c>
      <c r="I150" s="29">
        <f>SUM(I151:I154)</f>
        <v>1207.4046515999999</v>
      </c>
    </row>
    <row r="151" spans="1:9" ht="18" customHeight="1">
      <c r="A151" s="39" t="s">
        <v>358</v>
      </c>
      <c r="B151" s="40" t="s">
        <v>359</v>
      </c>
      <c r="C151" s="39" t="s">
        <v>32</v>
      </c>
      <c r="D151" s="41" t="s">
        <v>235</v>
      </c>
      <c r="E151" s="39" t="s">
        <v>263</v>
      </c>
      <c r="F151" s="40">
        <v>8.94</v>
      </c>
      <c r="G151" s="39">
        <v>31.15</v>
      </c>
      <c r="H151" s="71">
        <f t="shared" si="37"/>
        <v>38.8129</v>
      </c>
      <c r="I151" s="72">
        <f aca="true" t="shared" si="38" ref="I151:I154">F151*H151</f>
        <v>346.987326</v>
      </c>
    </row>
    <row r="152" spans="1:9" ht="18" customHeight="1">
      <c r="A152" s="41" t="s">
        <v>360</v>
      </c>
      <c r="B152" s="63" t="s">
        <v>361</v>
      </c>
      <c r="C152" s="41" t="s">
        <v>32</v>
      </c>
      <c r="D152" s="7">
        <v>73676</v>
      </c>
      <c r="E152" s="41" t="s">
        <v>263</v>
      </c>
      <c r="F152" s="73">
        <v>3.6</v>
      </c>
      <c r="G152" s="41">
        <v>38.68</v>
      </c>
      <c r="H152" s="73">
        <f t="shared" si="37"/>
        <v>48.19528</v>
      </c>
      <c r="I152" s="72">
        <f t="shared" si="38"/>
        <v>173.503008</v>
      </c>
    </row>
    <row r="153" spans="1:9" ht="18" customHeight="1">
      <c r="A153" s="39" t="s">
        <v>362</v>
      </c>
      <c r="B153" s="40" t="s">
        <v>363</v>
      </c>
      <c r="C153" s="39" t="s">
        <v>32</v>
      </c>
      <c r="D153" s="41" t="s">
        <v>364</v>
      </c>
      <c r="E153" s="39" t="s">
        <v>263</v>
      </c>
      <c r="F153" s="40">
        <v>11.66</v>
      </c>
      <c r="G153" s="39">
        <v>45.29</v>
      </c>
      <c r="H153" s="71">
        <f t="shared" si="37"/>
        <v>56.43134</v>
      </c>
      <c r="I153" s="72">
        <f t="shared" si="38"/>
        <v>657.9894244</v>
      </c>
    </row>
    <row r="154" spans="1:9" ht="18" customHeight="1">
      <c r="A154" s="41" t="s">
        <v>365</v>
      </c>
      <c r="B154" s="63" t="s">
        <v>366</v>
      </c>
      <c r="C154" s="41" t="s">
        <v>32</v>
      </c>
      <c r="D154" s="7">
        <v>9537</v>
      </c>
      <c r="E154" s="41" t="s">
        <v>263</v>
      </c>
      <c r="F154" s="63">
        <v>15.58</v>
      </c>
      <c r="G154" s="41">
        <v>1.49</v>
      </c>
      <c r="H154" s="73">
        <f t="shared" si="37"/>
        <v>1.85654</v>
      </c>
      <c r="I154" s="72">
        <f t="shared" si="38"/>
        <v>28.9248932</v>
      </c>
    </row>
    <row r="155" spans="1:9" ht="18" customHeight="1">
      <c r="A155" s="3"/>
      <c r="B155" s="79" t="s">
        <v>254</v>
      </c>
      <c r="C155" s="79"/>
      <c r="D155" s="79"/>
      <c r="E155" s="79"/>
      <c r="F155" s="79"/>
      <c r="G155" s="79"/>
      <c r="H155" s="79"/>
      <c r="I155" s="37">
        <f>+SUM(I106:I154)/2</f>
        <v>23700.2109318</v>
      </c>
    </row>
    <row r="156" spans="1:9" ht="33.75" customHeight="1">
      <c r="A156" s="80" t="s">
        <v>367</v>
      </c>
      <c r="B156" s="80"/>
      <c r="C156" s="80"/>
      <c r="D156" s="80"/>
      <c r="E156" s="80"/>
      <c r="F156" s="80"/>
      <c r="G156" s="80"/>
      <c r="H156" s="80"/>
      <c r="I156" s="80"/>
    </row>
    <row r="157" spans="1:9" ht="18" customHeight="1">
      <c r="A157" s="81" t="s">
        <v>368</v>
      </c>
      <c r="B157" s="81"/>
      <c r="C157" s="81"/>
      <c r="D157" s="81"/>
      <c r="E157" s="81"/>
      <c r="F157" s="81"/>
      <c r="G157" s="81"/>
      <c r="H157" s="81"/>
      <c r="I157" s="81"/>
    </row>
  </sheetData>
  <sheetProtection selectLockedCells="1" selectUnlockedCells="1"/>
  <mergeCells count="23">
    <mergeCell ref="A1:D7"/>
    <mergeCell ref="E1:J2"/>
    <mergeCell ref="E3:J4"/>
    <mergeCell ref="E5:J7"/>
    <mergeCell ref="A8:F8"/>
    <mergeCell ref="G8:J8"/>
    <mergeCell ref="A9:F9"/>
    <mergeCell ref="G9:I9"/>
    <mergeCell ref="A10:J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A104:H104"/>
    <mergeCell ref="A105:I105"/>
    <mergeCell ref="B155:H155"/>
    <mergeCell ref="A156:I156"/>
    <mergeCell ref="A157:I157"/>
  </mergeCells>
  <printOptions gridLines="1" horizontalCentered="1"/>
  <pageMargins left="0.43333333333333335" right="0" top="0.7083333333333334" bottom="0.39375" header="0.5118055555555555" footer="0.39375"/>
  <pageSetup horizontalDpi="300" verticalDpi="300" orientation="landscape" paperSize="9" scale="71"/>
  <headerFooter alignWithMargins="0">
    <oddFooter>&amp;CPágina &amp;P de &amp;N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view="pageBreakPreview" zoomScale="73" zoomScaleSheetLayoutView="73" workbookViewId="0" topLeftCell="A1">
      <selection activeCell="G16" sqref="G16"/>
    </sheetView>
  </sheetViews>
  <sheetFormatPr defaultColWidth="11.421875" defaultRowHeight="15"/>
  <cols>
    <col min="1" max="1" width="4.7109375" style="82" customWidth="1"/>
    <col min="2" max="2" width="5.8515625" style="82" customWidth="1"/>
    <col min="3" max="3" width="45.57421875" style="82" customWidth="1"/>
    <col min="4" max="4" width="11.00390625" style="83" customWidth="1"/>
    <col min="5" max="5" width="16.7109375" style="82" customWidth="1"/>
    <col min="6" max="6" width="13.57421875" style="83" customWidth="1"/>
    <col min="7" max="7" width="16.421875" style="83" customWidth="1"/>
    <col min="8" max="8" width="14.421875" style="83" customWidth="1"/>
    <col min="9" max="9" width="16.140625" style="83" customWidth="1"/>
    <col min="10" max="10" width="14.421875" style="83" customWidth="1"/>
    <col min="11" max="11" width="16.140625" style="83" customWidth="1"/>
    <col min="12" max="12" width="18.421875" style="83" customWidth="1"/>
    <col min="13" max="13" width="19.28125" style="83" customWidth="1"/>
    <col min="14" max="14" width="15.8515625" style="83" customWidth="1"/>
    <col min="15" max="15" width="13.421875" style="83" customWidth="1"/>
    <col min="16" max="16" width="10.7109375" style="83" customWidth="1"/>
    <col min="17" max="17" width="14.140625" style="83" customWidth="1"/>
    <col min="18" max="18" width="14.57421875" style="83" customWidth="1"/>
    <col min="19" max="16384" width="11.421875" style="82" customWidth="1"/>
  </cols>
  <sheetData>
    <row r="1" spans="2:17" ht="18" customHeight="1">
      <c r="B1" s="84"/>
      <c r="C1" s="84"/>
      <c r="D1" s="84"/>
      <c r="E1" s="85"/>
      <c r="F1" s="86"/>
      <c r="G1" s="86"/>
      <c r="H1" s="86"/>
      <c r="I1" s="86"/>
      <c r="J1" s="86"/>
      <c r="K1" s="86"/>
      <c r="L1" s="86"/>
      <c r="M1" s="84"/>
      <c r="N1" s="84"/>
      <c r="O1" s="84"/>
      <c r="P1" s="84"/>
      <c r="Q1" s="84"/>
    </row>
    <row r="2" spans="2:18" ht="18" customHeight="1">
      <c r="B2" s="87"/>
      <c r="C2" s="88" t="s">
        <v>369</v>
      </c>
      <c r="D2" s="88"/>
      <c r="E2" s="88"/>
      <c r="F2" s="88"/>
      <c r="G2" s="89" t="s">
        <v>0</v>
      </c>
      <c r="H2" s="89"/>
      <c r="I2" s="89"/>
      <c r="J2" s="89"/>
      <c r="K2" s="89"/>
      <c r="L2" s="89"/>
      <c r="M2" s="90"/>
      <c r="N2" s="90"/>
      <c r="O2" s="90"/>
      <c r="P2" s="90"/>
      <c r="Q2" s="90"/>
      <c r="R2" s="90"/>
    </row>
    <row r="3" spans="2:18" ht="18" customHeight="1">
      <c r="B3" s="91"/>
      <c r="C3" s="88"/>
      <c r="D3" s="88"/>
      <c r="E3" s="88"/>
      <c r="F3" s="88"/>
      <c r="G3" s="89"/>
      <c r="H3" s="89"/>
      <c r="I3" s="89"/>
      <c r="J3" s="89"/>
      <c r="K3" s="89"/>
      <c r="L3" s="89"/>
      <c r="M3" s="90"/>
      <c r="N3" s="90"/>
      <c r="O3" s="90"/>
      <c r="P3" s="90"/>
      <c r="Q3" s="90"/>
      <c r="R3" s="90"/>
    </row>
    <row r="4" spans="2:18" ht="18" customHeight="1">
      <c r="B4" s="91"/>
      <c r="C4" s="88"/>
      <c r="D4" s="88"/>
      <c r="E4" s="88"/>
      <c r="F4" s="88"/>
      <c r="G4" s="89" t="s">
        <v>1</v>
      </c>
      <c r="H4" s="89"/>
      <c r="I4" s="89"/>
      <c r="J4" s="89"/>
      <c r="K4" s="89"/>
      <c r="L4" s="89"/>
      <c r="M4" s="90"/>
      <c r="N4" s="90"/>
      <c r="O4" s="90"/>
      <c r="P4" s="90"/>
      <c r="Q4" s="90"/>
      <c r="R4" s="90"/>
    </row>
    <row r="5" spans="2:18" ht="18" customHeight="1">
      <c r="B5" s="91"/>
      <c r="C5" s="88"/>
      <c r="D5" s="88"/>
      <c r="E5" s="88"/>
      <c r="F5" s="88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</row>
    <row r="6" spans="2:18" s="92" customFormat="1" ht="18" customHeight="1">
      <c r="B6" s="93" t="s">
        <v>370</v>
      </c>
      <c r="C6" s="93"/>
      <c r="D6" s="93"/>
      <c r="E6" s="93"/>
      <c r="F6" s="93"/>
      <c r="G6" s="93"/>
      <c r="H6" s="93"/>
      <c r="I6" s="94" t="s">
        <v>371</v>
      </c>
      <c r="J6" s="94"/>
      <c r="K6" s="94"/>
      <c r="L6" s="94"/>
      <c r="M6" s="95"/>
      <c r="N6" s="95"/>
      <c r="O6" s="95"/>
      <c r="P6" s="95"/>
      <c r="Q6" s="95"/>
      <c r="R6" s="95"/>
    </row>
    <row r="7" spans="2:18" s="92" customFormat="1" ht="18" customHeight="1">
      <c r="B7" s="93" t="s">
        <v>372</v>
      </c>
      <c r="C7" s="93"/>
      <c r="D7" s="93"/>
      <c r="E7" s="93"/>
      <c r="F7" s="93"/>
      <c r="G7" s="93"/>
      <c r="H7" s="93"/>
      <c r="I7" s="96" t="s">
        <v>373</v>
      </c>
      <c r="J7" s="96"/>
      <c r="K7" s="96"/>
      <c r="L7" s="96"/>
      <c r="M7" s="95"/>
      <c r="N7" s="95"/>
      <c r="O7" s="95"/>
      <c r="P7" s="95"/>
      <c r="Q7" s="95"/>
      <c r="R7" s="97"/>
    </row>
    <row r="8" spans="2:18" s="92" customFormat="1" ht="4.5" customHeight="1">
      <c r="B8" s="98"/>
      <c r="C8" s="99"/>
      <c r="D8" s="99"/>
      <c r="E8" s="99"/>
      <c r="F8" s="99"/>
      <c r="G8" s="100"/>
      <c r="H8" s="100"/>
      <c r="I8" s="100"/>
      <c r="J8" s="100"/>
      <c r="K8" s="101"/>
      <c r="L8" s="102"/>
      <c r="M8" s="95"/>
      <c r="N8" s="95"/>
      <c r="O8" s="95"/>
      <c r="P8" s="95"/>
      <c r="Q8" s="95"/>
      <c r="R8" s="95"/>
    </row>
    <row r="9" spans="2:18" s="92" customFormat="1" ht="18" customHeight="1">
      <c r="B9" s="103" t="s">
        <v>374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95"/>
      <c r="N9" s="95"/>
      <c r="O9" s="95"/>
      <c r="P9" s="95"/>
      <c r="Q9" s="95"/>
      <c r="R9" s="95"/>
    </row>
    <row r="10" spans="2:18" s="92" customFormat="1" ht="4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5"/>
      <c r="N10" s="95"/>
      <c r="O10" s="95"/>
      <c r="P10" s="95"/>
      <c r="Q10" s="95"/>
      <c r="R10" s="95"/>
    </row>
    <row r="11" spans="2:17" ht="18" customHeight="1">
      <c r="B11" s="107" t="s">
        <v>375</v>
      </c>
      <c r="C11" s="107" t="s">
        <v>376</v>
      </c>
      <c r="D11" s="107" t="s">
        <v>377</v>
      </c>
      <c r="E11" s="107" t="s">
        <v>378</v>
      </c>
      <c r="F11" s="107" t="s">
        <v>379</v>
      </c>
      <c r="G11" s="107"/>
      <c r="H11" s="107" t="s">
        <v>380</v>
      </c>
      <c r="I11" s="107"/>
      <c r="J11" s="107" t="s">
        <v>381</v>
      </c>
      <c r="K11" s="107"/>
      <c r="L11" s="107" t="s">
        <v>382</v>
      </c>
      <c r="M11" s="108"/>
      <c r="N11" s="108"/>
      <c r="O11" s="108"/>
      <c r="P11" s="108"/>
      <c r="Q11" s="108"/>
    </row>
    <row r="12" spans="2:17" ht="18" customHeight="1">
      <c r="B12" s="107"/>
      <c r="C12" s="107"/>
      <c r="D12" s="107"/>
      <c r="E12" s="107"/>
      <c r="F12" s="107" t="s">
        <v>383</v>
      </c>
      <c r="G12" s="107" t="s">
        <v>384</v>
      </c>
      <c r="H12" s="107" t="s">
        <v>383</v>
      </c>
      <c r="I12" s="107" t="s">
        <v>384</v>
      </c>
      <c r="J12" s="107" t="s">
        <v>383</v>
      </c>
      <c r="K12" s="107" t="s">
        <v>384</v>
      </c>
      <c r="L12" s="107"/>
      <c r="M12" s="108"/>
      <c r="N12" s="108"/>
      <c r="O12" s="108"/>
      <c r="P12" s="108"/>
      <c r="Q12" s="108"/>
    </row>
    <row r="13" spans="2:20" s="92" customFormat="1" ht="18" customHeight="1">
      <c r="B13" s="109" t="s">
        <v>256</v>
      </c>
      <c r="C13" s="110">
        <f>'Planila Orçamentária'!B13</f>
        <v>0</v>
      </c>
      <c r="D13" s="111">
        <f>E13/E26</f>
        <v>0.010390515014289115</v>
      </c>
      <c r="E13" s="112">
        <f>1332.85+201.5</f>
        <v>1534.35</v>
      </c>
      <c r="F13" s="113">
        <v>1</v>
      </c>
      <c r="G13" s="112">
        <f aca="true" t="shared" si="0" ref="G13:G24">F13*E13</f>
        <v>1534.35</v>
      </c>
      <c r="H13" s="113">
        <v>0</v>
      </c>
      <c r="I13" s="112">
        <f aca="true" t="shared" si="1" ref="I13:I24">H13*E13</f>
        <v>0</v>
      </c>
      <c r="J13" s="113">
        <v>0</v>
      </c>
      <c r="K13" s="112">
        <f aca="true" t="shared" si="2" ref="K13:K24">J13*E13</f>
        <v>0</v>
      </c>
      <c r="L13" s="112">
        <f aca="true" t="shared" si="3" ref="L13:L24">G13+I13+K13</f>
        <v>1534.35</v>
      </c>
      <c r="M13" s="108"/>
      <c r="N13" s="108"/>
      <c r="O13" s="108"/>
      <c r="P13" s="108"/>
      <c r="Q13" s="108"/>
      <c r="S13" s="114"/>
      <c r="T13" s="114"/>
    </row>
    <row r="14" spans="1:20" s="92" customFormat="1" ht="18" customHeight="1">
      <c r="A14" s="92">
        <f>+A1</f>
        <v>0</v>
      </c>
      <c r="B14" s="109" t="s">
        <v>267</v>
      </c>
      <c r="C14" s="110">
        <f>'Planila Orçamentária'!B16</f>
        <v>0</v>
      </c>
      <c r="D14" s="111">
        <f>E14/E26</f>
        <v>0.022616562400346776</v>
      </c>
      <c r="E14" s="112">
        <f>1469.74+1870.01</f>
        <v>3339.75</v>
      </c>
      <c r="F14" s="113">
        <v>1</v>
      </c>
      <c r="G14" s="112">
        <f t="shared" si="0"/>
        <v>3339.75</v>
      </c>
      <c r="H14" s="113">
        <v>0</v>
      </c>
      <c r="I14" s="112">
        <f t="shared" si="1"/>
        <v>0</v>
      </c>
      <c r="J14" s="113">
        <v>0</v>
      </c>
      <c r="K14" s="112">
        <f t="shared" si="2"/>
        <v>0</v>
      </c>
      <c r="L14" s="112">
        <f t="shared" si="3"/>
        <v>3339.75</v>
      </c>
      <c r="M14" s="108"/>
      <c r="N14" s="108"/>
      <c r="O14" s="108"/>
      <c r="P14" s="108"/>
      <c r="Q14" s="108"/>
      <c r="S14" s="114"/>
      <c r="T14" s="114"/>
    </row>
    <row r="15" spans="2:20" s="92" customFormat="1" ht="18" customHeight="1">
      <c r="B15" s="109" t="s">
        <v>278</v>
      </c>
      <c r="C15" s="110">
        <f>'Planila Orçamentária'!B19</f>
        <v>0</v>
      </c>
      <c r="D15" s="111">
        <f>E15/E26</f>
        <v>0.045239625856133135</v>
      </c>
      <c r="E15" s="112">
        <f>2136.32+4544.14</f>
        <v>6680.460000000001</v>
      </c>
      <c r="F15" s="113">
        <v>1</v>
      </c>
      <c r="G15" s="112">
        <f t="shared" si="0"/>
        <v>6680.460000000001</v>
      </c>
      <c r="H15" s="113">
        <v>0</v>
      </c>
      <c r="I15" s="112">
        <f t="shared" si="1"/>
        <v>0</v>
      </c>
      <c r="J15" s="113">
        <v>0</v>
      </c>
      <c r="K15" s="112">
        <f t="shared" si="2"/>
        <v>0</v>
      </c>
      <c r="L15" s="112">
        <f t="shared" si="3"/>
        <v>6680.460000000001</v>
      </c>
      <c r="M15" s="108"/>
      <c r="N15" s="108"/>
      <c r="O15" s="108"/>
      <c r="P15" s="108"/>
      <c r="Q15" s="108"/>
      <c r="S15" s="114"/>
      <c r="T15" s="114"/>
    </row>
    <row r="16" spans="2:20" s="92" customFormat="1" ht="18" customHeight="1">
      <c r="B16" s="109" t="s">
        <v>290</v>
      </c>
      <c r="C16" s="110">
        <f>'Planila Orçamentária'!B23</f>
        <v>0</v>
      </c>
      <c r="D16" s="111">
        <f>E16/E26</f>
        <v>0.02409182794983867</v>
      </c>
      <c r="E16" s="112">
        <f>686.09+2871.51</f>
        <v>3557.6000000000004</v>
      </c>
      <c r="F16" s="113">
        <v>0.5</v>
      </c>
      <c r="G16" s="112">
        <f t="shared" si="0"/>
        <v>1778.8000000000002</v>
      </c>
      <c r="H16" s="113">
        <v>0.5</v>
      </c>
      <c r="I16" s="112">
        <f t="shared" si="1"/>
        <v>1778.8000000000002</v>
      </c>
      <c r="J16" s="113">
        <v>0</v>
      </c>
      <c r="K16" s="112">
        <f t="shared" si="2"/>
        <v>0</v>
      </c>
      <c r="L16" s="112">
        <f t="shared" si="3"/>
        <v>3557.6000000000004</v>
      </c>
      <c r="M16" s="108"/>
      <c r="N16" s="108"/>
      <c r="O16" s="108"/>
      <c r="P16" s="108"/>
      <c r="Q16" s="108"/>
      <c r="S16" s="114"/>
      <c r="T16" s="114"/>
    </row>
    <row r="17" spans="2:20" s="92" customFormat="1" ht="18" customHeight="1">
      <c r="B17" s="109" t="s">
        <v>294</v>
      </c>
      <c r="C17" s="110">
        <f>'Planila Orçamentária'!B25</f>
        <v>0</v>
      </c>
      <c r="D17" s="111">
        <f>E17/E26</f>
        <v>0.04437424057006671</v>
      </c>
      <c r="E17" s="112">
        <f>2917.58+3635.09</f>
        <v>6552.67</v>
      </c>
      <c r="F17" s="113">
        <v>0.3</v>
      </c>
      <c r="G17" s="112">
        <f t="shared" si="0"/>
        <v>1965.801</v>
      </c>
      <c r="H17" s="113">
        <v>0.1</v>
      </c>
      <c r="I17" s="112">
        <f t="shared" si="1"/>
        <v>655.267</v>
      </c>
      <c r="J17" s="113">
        <v>0.6</v>
      </c>
      <c r="K17" s="112">
        <f t="shared" si="2"/>
        <v>3931.602</v>
      </c>
      <c r="L17" s="112">
        <f t="shared" si="3"/>
        <v>6552.67</v>
      </c>
      <c r="M17" s="108"/>
      <c r="N17" s="108"/>
      <c r="O17" s="108"/>
      <c r="P17" s="108"/>
      <c r="Q17" s="108"/>
      <c r="S17" s="114"/>
      <c r="T17" s="114"/>
    </row>
    <row r="18" spans="2:20" s="92" customFormat="1" ht="18" customHeight="1">
      <c r="B18" s="109" t="s">
        <v>304</v>
      </c>
      <c r="C18" s="110">
        <f>'Planila Orçamentária'!B29</f>
        <v>0</v>
      </c>
      <c r="D18" s="111">
        <f>E18/E26</f>
        <v>0.14728872467102455</v>
      </c>
      <c r="E18" s="112">
        <f>21272.62+477.26</f>
        <v>21749.879999999997</v>
      </c>
      <c r="F18" s="113">
        <v>0.4</v>
      </c>
      <c r="G18" s="112">
        <f t="shared" si="0"/>
        <v>8699.952</v>
      </c>
      <c r="H18" s="113">
        <v>0.1</v>
      </c>
      <c r="I18" s="112">
        <f t="shared" si="1"/>
        <v>2174.988</v>
      </c>
      <c r="J18" s="113">
        <v>0.5</v>
      </c>
      <c r="K18" s="112">
        <f t="shared" si="2"/>
        <v>10874.939999999999</v>
      </c>
      <c r="L18" s="112">
        <f t="shared" si="3"/>
        <v>21749.879999999997</v>
      </c>
      <c r="M18" s="108"/>
      <c r="N18" s="108"/>
      <c r="O18" s="108"/>
      <c r="P18" s="108"/>
      <c r="Q18" s="108"/>
      <c r="S18" s="114"/>
      <c r="T18" s="114"/>
    </row>
    <row r="19" spans="2:20" s="92" customFormat="1" ht="18" customHeight="1">
      <c r="B19" s="109" t="s">
        <v>311</v>
      </c>
      <c r="C19" s="110">
        <f>'Planila Orçamentária'!B50</f>
        <v>0</v>
      </c>
      <c r="D19" s="111">
        <f>E19/E26</f>
        <v>0.15419047537139477</v>
      </c>
      <c r="E19" s="112">
        <f>20515.66+2253.39</f>
        <v>22769.05</v>
      </c>
      <c r="F19" s="113">
        <v>0.4</v>
      </c>
      <c r="G19" s="112">
        <f t="shared" si="0"/>
        <v>9107.62</v>
      </c>
      <c r="H19" s="113">
        <v>0.1</v>
      </c>
      <c r="I19" s="112">
        <f t="shared" si="1"/>
        <v>2276.905</v>
      </c>
      <c r="J19" s="113">
        <v>0.5</v>
      </c>
      <c r="K19" s="112">
        <f t="shared" si="2"/>
        <v>11384.525</v>
      </c>
      <c r="L19" s="112">
        <f t="shared" si="3"/>
        <v>22769.050000000003</v>
      </c>
      <c r="M19" s="108"/>
      <c r="N19" s="108"/>
      <c r="O19" s="108"/>
      <c r="P19" s="108"/>
      <c r="Q19" s="108"/>
      <c r="S19" s="114"/>
      <c r="T19" s="114"/>
    </row>
    <row r="20" spans="2:20" s="92" customFormat="1" ht="18" customHeight="1">
      <c r="B20" s="109" t="s">
        <v>332</v>
      </c>
      <c r="C20" s="110">
        <f>'Planila Orçamentária'!B62</f>
        <v>0</v>
      </c>
      <c r="D20" s="111">
        <f>E20/E26</f>
        <v>0.1417816535204265</v>
      </c>
      <c r="E20" s="112">
        <f>20525.58+411.08</f>
        <v>20936.660000000003</v>
      </c>
      <c r="F20" s="113">
        <v>0.4</v>
      </c>
      <c r="G20" s="112">
        <f t="shared" si="0"/>
        <v>8374.664000000002</v>
      </c>
      <c r="H20" s="113">
        <v>0.4</v>
      </c>
      <c r="I20" s="112">
        <f t="shared" si="1"/>
        <v>8374.664000000002</v>
      </c>
      <c r="J20" s="113">
        <v>0.2</v>
      </c>
      <c r="K20" s="112">
        <f t="shared" si="2"/>
        <v>4187.332000000001</v>
      </c>
      <c r="L20" s="112">
        <f t="shared" si="3"/>
        <v>20936.660000000007</v>
      </c>
      <c r="M20" s="108"/>
      <c r="N20" s="108"/>
      <c r="O20" s="108"/>
      <c r="P20" s="108"/>
      <c r="Q20" s="108"/>
      <c r="S20" s="114"/>
      <c r="T20" s="114"/>
    </row>
    <row r="21" spans="2:20" s="92" customFormat="1" ht="18" customHeight="1">
      <c r="B21" s="109" t="s">
        <v>336</v>
      </c>
      <c r="C21" s="110">
        <f>'Planila Orçamentária'!B69</f>
        <v>0</v>
      </c>
      <c r="D21" s="111">
        <f>E21/E26</f>
        <v>0.056053522105924805</v>
      </c>
      <c r="E21" s="112">
        <f>6322.64+1954.69</f>
        <v>8277.33</v>
      </c>
      <c r="F21" s="113">
        <v>0</v>
      </c>
      <c r="G21" s="112">
        <f t="shared" si="0"/>
        <v>0</v>
      </c>
      <c r="H21" s="113">
        <v>0.8</v>
      </c>
      <c r="I21" s="112">
        <f t="shared" si="1"/>
        <v>6621.8640000000005</v>
      </c>
      <c r="J21" s="113">
        <v>0.2</v>
      </c>
      <c r="K21" s="112">
        <f t="shared" si="2"/>
        <v>1655.4660000000001</v>
      </c>
      <c r="L21" s="112">
        <f t="shared" si="3"/>
        <v>8277.33</v>
      </c>
      <c r="M21" s="108"/>
      <c r="N21" s="108"/>
      <c r="O21" s="108"/>
      <c r="P21" s="108"/>
      <c r="Q21" s="108"/>
      <c r="S21" s="114"/>
      <c r="T21" s="114"/>
    </row>
    <row r="22" spans="2:20" s="92" customFormat="1" ht="18" customHeight="1">
      <c r="B22" s="109" t="s">
        <v>342</v>
      </c>
      <c r="C22" s="110">
        <f>'Planila Orçamentária'!B75</f>
        <v>0</v>
      </c>
      <c r="D22" s="111">
        <f>E22/E26</f>
        <v>0.030611506204478642</v>
      </c>
      <c r="E22" s="112">
        <f>1213.43+3306.92</f>
        <v>4520.35</v>
      </c>
      <c r="F22" s="113">
        <v>0</v>
      </c>
      <c r="G22" s="112">
        <f t="shared" si="0"/>
        <v>0</v>
      </c>
      <c r="H22" s="113">
        <v>0.8</v>
      </c>
      <c r="I22" s="112">
        <f t="shared" si="1"/>
        <v>3616.2800000000007</v>
      </c>
      <c r="J22" s="113">
        <v>0.2</v>
      </c>
      <c r="K22" s="112">
        <f t="shared" si="2"/>
        <v>904.0700000000002</v>
      </c>
      <c r="L22" s="112">
        <f t="shared" si="3"/>
        <v>4520.35</v>
      </c>
      <c r="M22" s="108"/>
      <c r="N22" s="108"/>
      <c r="O22" s="108"/>
      <c r="P22" s="108"/>
      <c r="Q22" s="108"/>
      <c r="S22" s="114"/>
      <c r="T22" s="114"/>
    </row>
    <row r="23" spans="2:20" s="92" customFormat="1" ht="18" customHeight="1">
      <c r="B23" s="109" t="s">
        <v>351</v>
      </c>
      <c r="C23" s="110">
        <f>'Planila Orçamentária'!B79</f>
        <v>0</v>
      </c>
      <c r="D23" s="111">
        <f>E23/E26</f>
        <v>0.22288502890227033</v>
      </c>
      <c r="E23" s="112">
        <f>31945.85+967.21</f>
        <v>32913.06</v>
      </c>
      <c r="F23" s="113">
        <v>0</v>
      </c>
      <c r="G23" s="112">
        <f t="shared" si="0"/>
        <v>0</v>
      </c>
      <c r="H23" s="113">
        <v>0.4</v>
      </c>
      <c r="I23" s="112">
        <f t="shared" si="1"/>
        <v>13165.224</v>
      </c>
      <c r="J23" s="113">
        <v>0.6</v>
      </c>
      <c r="K23" s="112">
        <f t="shared" si="2"/>
        <v>19747.836</v>
      </c>
      <c r="L23" s="112">
        <f t="shared" si="3"/>
        <v>32913.06</v>
      </c>
      <c r="M23" s="108"/>
      <c r="N23" s="108"/>
      <c r="O23" s="108"/>
      <c r="P23" s="108"/>
      <c r="Q23" s="108"/>
      <c r="S23" s="114"/>
      <c r="T23" s="114"/>
    </row>
    <row r="24" spans="2:20" s="92" customFormat="1" ht="18" customHeight="1">
      <c r="B24" s="109" t="s">
        <v>357</v>
      </c>
      <c r="C24" s="110">
        <f>'Planila Orçamentária'!B90</f>
        <v>0</v>
      </c>
      <c r="D24" s="111">
        <f>E24/E26</f>
        <v>0.10047631743380588</v>
      </c>
      <c r="E24" s="112">
        <f>13629.77+1207.4</f>
        <v>14837.17</v>
      </c>
      <c r="F24" s="113">
        <v>0</v>
      </c>
      <c r="G24" s="112">
        <f t="shared" si="0"/>
        <v>0</v>
      </c>
      <c r="H24" s="113">
        <v>0.4</v>
      </c>
      <c r="I24" s="112">
        <f t="shared" si="1"/>
        <v>5934.868</v>
      </c>
      <c r="J24" s="113">
        <v>0.6</v>
      </c>
      <c r="K24" s="112">
        <f t="shared" si="2"/>
        <v>8902.302</v>
      </c>
      <c r="L24" s="112">
        <f t="shared" si="3"/>
        <v>14837.17</v>
      </c>
      <c r="M24" s="108"/>
      <c r="N24" s="108"/>
      <c r="O24" s="108"/>
      <c r="P24" s="108"/>
      <c r="Q24" s="108"/>
      <c r="S24" s="114"/>
      <c r="T24" s="114"/>
    </row>
    <row r="25" spans="2:20" s="115" customFormat="1" ht="4.5" customHeight="1">
      <c r="B25" s="116"/>
      <c r="C25" s="117"/>
      <c r="D25" s="118"/>
      <c r="E25" s="119"/>
      <c r="F25" s="119"/>
      <c r="G25" s="119"/>
      <c r="H25" s="119"/>
      <c r="I25" s="119"/>
      <c r="J25" s="119"/>
      <c r="K25" s="119"/>
      <c r="L25" s="118"/>
      <c r="M25" s="119"/>
      <c r="N25" s="118"/>
      <c r="O25" s="119"/>
      <c r="P25" s="118"/>
      <c r="Q25" s="119"/>
      <c r="R25" s="120"/>
      <c r="S25" s="121"/>
      <c r="T25" s="121"/>
    </row>
    <row r="26" spans="2:24" ht="15.75">
      <c r="B26" s="121"/>
      <c r="C26" s="122" t="s">
        <v>382</v>
      </c>
      <c r="D26" s="123">
        <v>100</v>
      </c>
      <c r="E26" s="124">
        <f>SUM(E13:E25)</f>
        <v>147668.33000000002</v>
      </c>
      <c r="F26" s="124"/>
      <c r="G26" s="124">
        <f>SUM(G13:G25)</f>
        <v>41481.397000000004</v>
      </c>
      <c r="H26" s="124"/>
      <c r="I26" s="124">
        <f>SUM(I13:I25)</f>
        <v>44598.86000000001</v>
      </c>
      <c r="J26" s="124"/>
      <c r="K26" s="124">
        <f>SUM(K13:K25)</f>
        <v>61588.07299999999</v>
      </c>
      <c r="L26" s="124">
        <f>SUM(G26:K26)</f>
        <v>147668.33000000002</v>
      </c>
      <c r="M26" s="125"/>
      <c r="N26" s="125"/>
      <c r="O26" s="125"/>
      <c r="P26" s="125"/>
      <c r="Q26" s="125"/>
      <c r="R26" s="125"/>
      <c r="S26" s="121"/>
      <c r="T26" s="126"/>
      <c r="U26" s="126"/>
      <c r="V26" s="126"/>
      <c r="W26" s="126"/>
      <c r="X26" s="126"/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7" ht="12.75" customHeight="1"/>
  </sheetData>
  <sheetProtection selectLockedCells="1" selectUnlockedCells="1"/>
  <mergeCells count="16">
    <mergeCell ref="C2:F5"/>
    <mergeCell ref="G2:L3"/>
    <mergeCell ref="G4:L5"/>
    <mergeCell ref="B6:H6"/>
    <mergeCell ref="I6:L6"/>
    <mergeCell ref="B7:H7"/>
    <mergeCell ref="I7:L7"/>
    <mergeCell ref="B9:L9"/>
    <mergeCell ref="B11:B12"/>
    <mergeCell ref="C11:C12"/>
    <mergeCell ref="D11:D12"/>
    <mergeCell ref="E11:E12"/>
    <mergeCell ref="F11:G11"/>
    <mergeCell ref="H11:I11"/>
    <mergeCell ref="J11:K11"/>
    <mergeCell ref="L11:L12"/>
  </mergeCells>
  <printOptions horizontalCentered="1"/>
  <pageMargins left="0.19652777777777777" right="0.19652777777777777" top="0.5902777777777778" bottom="0.7868055555555555" header="0.5118055555555555" footer="0.5902777777777778"/>
  <pageSetup horizontalDpi="300" verticalDpi="300" orientation="landscape" paperSize="9" scale="59"/>
  <headerFooter alignWithMargins="0">
    <oddFooter>&amp;CPágina &amp;P de &amp;N</oddFooter>
  </headerFooter>
  <colBreaks count="2" manualBreakCount="2">
    <brk id="12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SheetLayoutView="100" workbookViewId="0" topLeftCell="A19">
      <selection activeCell="A1" sqref="A1"/>
    </sheetView>
  </sheetViews>
  <sheetFormatPr defaultColWidth="9.140625" defaultRowHeight="15"/>
  <cols>
    <col min="1" max="1" width="13.00390625" style="127" customWidth="1"/>
    <col min="2" max="2" width="6.421875" style="127" customWidth="1"/>
    <col min="3" max="3" width="9.7109375" style="127" customWidth="1"/>
    <col min="4" max="4" width="2.8515625" style="127" customWidth="1"/>
    <col min="5" max="5" width="9.7109375" style="127" customWidth="1"/>
    <col min="6" max="6" width="1.7109375" style="127" customWidth="1"/>
    <col min="7" max="7" width="9.7109375" style="127" customWidth="1"/>
    <col min="8" max="8" width="2.140625" style="127" customWidth="1"/>
    <col min="9" max="9" width="9.7109375" style="127" customWidth="1"/>
    <col min="10" max="10" width="0" style="127" hidden="1" customWidth="1"/>
    <col min="11" max="11" width="9.421875" style="127" customWidth="1"/>
    <col min="12" max="12" width="9.7109375" style="127" customWidth="1"/>
    <col min="13" max="13" width="3.7109375" style="127" customWidth="1"/>
    <col min="14" max="14" width="5.7109375" style="127" customWidth="1"/>
    <col min="15" max="16384" width="9.140625" style="127" customWidth="1"/>
  </cols>
  <sheetData>
    <row r="1" spans="1:14" ht="30">
      <c r="A1" s="128"/>
      <c r="B1" s="129"/>
      <c r="C1" s="130" t="s">
        <v>385</v>
      </c>
      <c r="D1" s="131" t="s">
        <v>385</v>
      </c>
      <c r="E1" s="132"/>
      <c r="F1" s="132"/>
      <c r="G1" s="132"/>
      <c r="H1" s="133"/>
      <c r="I1" s="129"/>
      <c r="J1" s="129"/>
      <c r="K1" s="129"/>
      <c r="L1" s="129"/>
      <c r="M1" s="129"/>
      <c r="N1" s="134"/>
    </row>
    <row r="2" spans="1:14" ht="30">
      <c r="A2" s="135"/>
      <c r="B2" s="136"/>
      <c r="C2" s="137" t="s">
        <v>386</v>
      </c>
      <c r="D2" s="138" t="s">
        <v>386</v>
      </c>
      <c r="E2" s="139"/>
      <c r="F2" s="139"/>
      <c r="G2" s="139"/>
      <c r="H2" s="140"/>
      <c r="I2" s="136"/>
      <c r="J2" s="136"/>
      <c r="K2" s="136"/>
      <c r="L2" s="136"/>
      <c r="M2" s="136"/>
      <c r="N2" s="141"/>
    </row>
    <row r="3" spans="1:14" ht="30">
      <c r="A3" s="142"/>
      <c r="B3" s="143"/>
      <c r="C3" s="144" t="s">
        <v>387</v>
      </c>
      <c r="D3" s="145" t="s">
        <v>387</v>
      </c>
      <c r="E3" s="146"/>
      <c r="F3" s="146"/>
      <c r="G3" s="146"/>
      <c r="H3" s="147"/>
      <c r="I3" s="143"/>
      <c r="J3" s="143"/>
      <c r="K3" s="143"/>
      <c r="L3" s="143"/>
      <c r="M3" s="143"/>
      <c r="N3" s="148"/>
    </row>
    <row r="6" spans="1:14" ht="18" customHeight="1">
      <c r="A6" s="149" t="s">
        <v>388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1:14" ht="18" customHeight="1">
      <c r="A8" s="150" t="s">
        <v>389</v>
      </c>
      <c r="B8" s="150"/>
      <c r="C8" s="150"/>
      <c r="D8" s="150"/>
      <c r="E8" s="150"/>
      <c r="F8" s="150"/>
      <c r="G8" s="150"/>
      <c r="H8" s="150"/>
      <c r="I8" s="150" t="s">
        <v>390</v>
      </c>
      <c r="J8" s="150"/>
      <c r="K8" s="150"/>
      <c r="L8" s="150"/>
      <c r="M8" s="150"/>
      <c r="N8" s="150"/>
    </row>
    <row r="9" spans="1:14" ht="19.5" customHeight="1">
      <c r="A9" s="151" t="s">
        <v>391</v>
      </c>
      <c r="B9" s="151"/>
      <c r="C9" s="151"/>
      <c r="D9" s="151"/>
      <c r="E9" s="151"/>
      <c r="F9" s="151"/>
      <c r="G9" s="151"/>
      <c r="H9" s="151"/>
      <c r="I9" s="152">
        <v>0.073</v>
      </c>
      <c r="J9" s="152"/>
      <c r="K9" s="152"/>
      <c r="L9" s="152"/>
      <c r="M9" s="152"/>
      <c r="N9" s="152"/>
    </row>
    <row r="10" spans="1:14" ht="19.5" customHeight="1">
      <c r="A10" s="151" t="s">
        <v>392</v>
      </c>
      <c r="B10" s="151"/>
      <c r="C10" s="151"/>
      <c r="D10" s="151"/>
      <c r="E10" s="151"/>
      <c r="F10" s="151"/>
      <c r="G10" s="151"/>
      <c r="H10" s="151"/>
      <c r="I10" s="152">
        <v>0.049</v>
      </c>
      <c r="J10" s="152"/>
      <c r="K10" s="152"/>
      <c r="L10" s="152"/>
      <c r="M10" s="152"/>
      <c r="N10" s="152"/>
    </row>
    <row r="11" spans="1:14" ht="19.5" customHeight="1">
      <c r="A11" s="151" t="s">
        <v>393</v>
      </c>
      <c r="B11" s="151"/>
      <c r="C11" s="151"/>
      <c r="D11" s="151"/>
      <c r="E11" s="151"/>
      <c r="F11" s="151"/>
      <c r="G11" s="151"/>
      <c r="H11" s="151"/>
      <c r="I11" s="152">
        <v>0.005</v>
      </c>
      <c r="J11" s="152"/>
      <c r="K11" s="152"/>
      <c r="L11" s="152"/>
      <c r="M11" s="152"/>
      <c r="N11" s="152"/>
    </row>
    <row r="12" spans="1:14" ht="19.5" customHeight="1">
      <c r="A12" s="151" t="s">
        <v>394</v>
      </c>
      <c r="B12" s="151"/>
      <c r="C12" s="151"/>
      <c r="D12" s="151"/>
      <c r="E12" s="151"/>
      <c r="F12" s="151"/>
      <c r="G12" s="151"/>
      <c r="H12" s="151"/>
      <c r="I12" s="152">
        <v>0.03</v>
      </c>
      <c r="J12" s="152"/>
      <c r="K12" s="152"/>
      <c r="L12" s="152"/>
      <c r="M12" s="152"/>
      <c r="N12" s="152"/>
    </row>
    <row r="13" spans="1:14" ht="19.5" customHeight="1">
      <c r="A13" s="151" t="s">
        <v>395</v>
      </c>
      <c r="B13" s="151"/>
      <c r="C13" s="151"/>
      <c r="D13" s="151"/>
      <c r="E13" s="151"/>
      <c r="F13" s="151"/>
      <c r="G13" s="151"/>
      <c r="H13" s="151"/>
      <c r="I13" s="152">
        <v>0.0065</v>
      </c>
      <c r="J13" s="152"/>
      <c r="K13" s="152"/>
      <c r="L13" s="152"/>
      <c r="M13" s="152"/>
      <c r="N13" s="152"/>
    </row>
    <row r="14" spans="1:14" ht="19.5" customHeight="1">
      <c r="A14" s="151" t="s">
        <v>396</v>
      </c>
      <c r="B14" s="151"/>
      <c r="C14" s="151"/>
      <c r="D14" s="151"/>
      <c r="E14" s="151"/>
      <c r="F14" s="151"/>
      <c r="G14" s="151"/>
      <c r="H14" s="151"/>
      <c r="I14" s="152">
        <v>0.03</v>
      </c>
      <c r="J14" s="152"/>
      <c r="K14" s="152"/>
      <c r="L14" s="152"/>
      <c r="M14" s="152"/>
      <c r="N14" s="152"/>
    </row>
    <row r="15" spans="1:14" ht="19.5" customHeight="1">
      <c r="A15" s="151" t="s">
        <v>397</v>
      </c>
      <c r="B15" s="151"/>
      <c r="C15" s="151"/>
      <c r="D15" s="151"/>
      <c r="E15" s="151"/>
      <c r="F15" s="151"/>
      <c r="G15" s="151"/>
      <c r="H15" s="151"/>
      <c r="I15" s="152">
        <v>0.02</v>
      </c>
      <c r="J15" s="152"/>
      <c r="K15" s="152"/>
      <c r="L15" s="152"/>
      <c r="M15" s="152"/>
      <c r="N15" s="152"/>
    </row>
    <row r="16" spans="1:14" ht="19.5" customHeight="1">
      <c r="A16" s="151" t="s">
        <v>398</v>
      </c>
      <c r="B16" s="151"/>
      <c r="C16" s="151"/>
      <c r="D16" s="151"/>
      <c r="E16" s="151"/>
      <c r="F16" s="151"/>
      <c r="G16" s="151"/>
      <c r="H16" s="151"/>
      <c r="I16" s="152">
        <v>0.0071</v>
      </c>
      <c r="J16" s="152"/>
      <c r="K16" s="152"/>
      <c r="L16" s="152"/>
      <c r="M16" s="152"/>
      <c r="N16" s="152"/>
    </row>
    <row r="18" spans="1:14" ht="18" customHeight="1">
      <c r="A18" s="150" t="s">
        <v>399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1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</row>
    <row r="20" spans="1:14" ht="1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1:14" ht="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</row>
    <row r="22" spans="1:14" ht="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</row>
    <row r="23" spans="1:14" ht="1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</row>
    <row r="24" spans="1:14" ht="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</row>
    <row r="25" spans="1:14" ht="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ht="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</row>
    <row r="27" spans="1:14" ht="1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ht="1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</row>
    <row r="29" spans="1:14" ht="1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</row>
    <row r="30" spans="1:14" ht="15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</row>
    <row r="31" spans="1:14" ht="1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ht="18" customHeight="1">
      <c r="A32" s="150" t="s">
        <v>400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</row>
    <row r="34" spans="1:14" ht="19.5" customHeight="1">
      <c r="A34" s="162" t="s">
        <v>401</v>
      </c>
      <c r="B34" s="163" t="s">
        <v>402</v>
      </c>
      <c r="C34" s="164">
        <f>I10</f>
        <v>0.049</v>
      </c>
      <c r="D34" s="165" t="s">
        <v>403</v>
      </c>
      <c r="E34" s="166">
        <f>I16</f>
        <v>0.0071</v>
      </c>
      <c r="F34" s="165" t="s">
        <v>404</v>
      </c>
      <c r="G34" s="167" t="s">
        <v>405</v>
      </c>
      <c r="H34" s="168">
        <f>I11</f>
        <v>0.005</v>
      </c>
      <c r="I34" s="168"/>
      <c r="J34" s="165" t="s">
        <v>404</v>
      </c>
      <c r="K34" s="167" t="s">
        <v>405</v>
      </c>
      <c r="L34" s="164">
        <f>I9</f>
        <v>0.073</v>
      </c>
      <c r="M34" s="165" t="s">
        <v>404</v>
      </c>
      <c r="N34" s="169">
        <v>-1</v>
      </c>
    </row>
    <row r="35" spans="1:14" ht="19.5" customHeight="1">
      <c r="A35" s="162"/>
      <c r="B35" s="170"/>
      <c r="C35" s="171" t="s">
        <v>406</v>
      </c>
      <c r="D35" s="172" t="s">
        <v>407</v>
      </c>
      <c r="E35" s="173">
        <f>I12</f>
        <v>0.03</v>
      </c>
      <c r="F35" s="172" t="s">
        <v>407</v>
      </c>
      <c r="G35" s="173">
        <f>I13</f>
        <v>0.0065</v>
      </c>
      <c r="H35" s="174" t="s">
        <v>407</v>
      </c>
      <c r="I35" s="174">
        <f>I14</f>
        <v>0.03</v>
      </c>
      <c r="J35" s="175">
        <f>-I15</f>
        <v>-0.02</v>
      </c>
      <c r="K35" s="175"/>
      <c r="L35" s="173" t="s">
        <v>404</v>
      </c>
      <c r="M35" s="170"/>
      <c r="N35" s="169"/>
    </row>
    <row r="36" spans="1:14" ht="15.7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8"/>
    </row>
    <row r="37" spans="1:14" ht="15" customHeight="1">
      <c r="A37" s="179" t="s">
        <v>401</v>
      </c>
      <c r="B37" s="180">
        <f>((1+I10+I16)*(1+I11)*(1+I9)/(1-I12-I13-I14-I15))-1</f>
        <v>0.24670090476190443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</row>
    <row r="38" spans="1:14" ht="15" customHeight="1">
      <c r="A38" s="179"/>
      <c r="B38" s="180"/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</row>
    <row r="39" spans="1:14" ht="15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</row>
    <row r="42" ht="15">
      <c r="A42" s="183" t="s">
        <v>408</v>
      </c>
    </row>
  </sheetData>
  <sheetProtection selectLockedCells="1" selectUnlockedCells="1"/>
  <mergeCells count="27">
    <mergeCell ref="A6:N6"/>
    <mergeCell ref="A8:H8"/>
    <mergeCell ref="I8:N8"/>
    <mergeCell ref="A9:H9"/>
    <mergeCell ref="I9:N9"/>
    <mergeCell ref="A10:H10"/>
    <mergeCell ref="I10:N10"/>
    <mergeCell ref="A11:H11"/>
    <mergeCell ref="I11:N11"/>
    <mergeCell ref="A12:H12"/>
    <mergeCell ref="I12:N12"/>
    <mergeCell ref="A13:H13"/>
    <mergeCell ref="I13:N13"/>
    <mergeCell ref="A14:H14"/>
    <mergeCell ref="I14:N14"/>
    <mergeCell ref="A15:H15"/>
    <mergeCell ref="I15:N15"/>
    <mergeCell ref="A16:H16"/>
    <mergeCell ref="I16:N16"/>
    <mergeCell ref="A18:N18"/>
    <mergeCell ref="A32:N32"/>
    <mergeCell ref="A34:A35"/>
    <mergeCell ref="H34:I34"/>
    <mergeCell ref="N34:N35"/>
    <mergeCell ref="J35:K35"/>
    <mergeCell ref="A37:A38"/>
    <mergeCell ref="B37:C38"/>
  </mergeCells>
  <printOptions/>
  <pageMargins left="0.7902777777777777" right="0.5118055555555555" top="0.7875" bottom="0.7875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zoomScale="76" zoomScaleSheetLayoutView="76" workbookViewId="0" topLeftCell="A1">
      <selection activeCell="M71" sqref="M71"/>
    </sheetView>
  </sheetViews>
  <sheetFormatPr defaultColWidth="9.140625" defaultRowHeight="18" customHeight="1"/>
  <cols>
    <col min="1" max="1" width="8.28125" style="3" customWidth="1"/>
    <col min="2" max="2" width="49.140625" style="2" customWidth="1"/>
    <col min="3" max="3" width="9.28125" style="5" customWidth="1"/>
    <col min="4" max="4" width="14.421875" style="6" customWidth="1"/>
    <col min="5" max="5" width="23.57421875" style="6" customWidth="1"/>
    <col min="6" max="6" width="22.00390625" style="2" customWidth="1"/>
    <col min="7" max="7" width="0" style="2" hidden="1" customWidth="1"/>
    <col min="8" max="8" width="17.7109375" style="2" customWidth="1"/>
    <col min="9" max="16384" width="9.140625" style="2" customWidth="1"/>
  </cols>
  <sheetData>
    <row r="1" spans="1:7" ht="18" customHeight="1">
      <c r="A1" s="7"/>
      <c r="B1" s="7"/>
      <c r="C1" s="8" t="s">
        <v>409</v>
      </c>
      <c r="D1" s="8"/>
      <c r="E1" s="8"/>
      <c r="F1" s="8"/>
      <c r="G1" s="8"/>
    </row>
    <row r="2" spans="1:7" ht="18" customHeight="1">
      <c r="A2" s="7"/>
      <c r="B2" s="7"/>
      <c r="C2" s="8"/>
      <c r="D2" s="8"/>
      <c r="E2" s="8"/>
      <c r="F2" s="8"/>
      <c r="G2" s="8"/>
    </row>
    <row r="3" spans="1:7" ht="18" customHeight="1">
      <c r="A3" s="7"/>
      <c r="B3" s="7"/>
      <c r="C3" s="9" t="s">
        <v>410</v>
      </c>
      <c r="D3" s="9"/>
      <c r="E3" s="9"/>
      <c r="F3" s="9"/>
      <c r="G3" s="9"/>
    </row>
    <row r="4" spans="1:7" ht="18" customHeight="1">
      <c r="A4" s="7"/>
      <c r="B4" s="7"/>
      <c r="C4" s="9"/>
      <c r="D4" s="9"/>
      <c r="E4" s="9"/>
      <c r="F4" s="9"/>
      <c r="G4" s="9"/>
    </row>
    <row r="5" spans="1:7" ht="4.5" customHeight="1">
      <c r="A5" s="7"/>
      <c r="B5" s="7"/>
      <c r="C5" s="10"/>
      <c r="D5" s="10"/>
      <c r="E5" s="10"/>
      <c r="F5" s="10"/>
      <c r="G5" s="10"/>
    </row>
    <row r="6" spans="1:7" ht="18" customHeight="1">
      <c r="A6" s="11" t="s">
        <v>3</v>
      </c>
      <c r="B6" s="11"/>
      <c r="C6" s="11"/>
      <c r="D6" s="12" t="s">
        <v>4</v>
      </c>
      <c r="E6" s="12"/>
      <c r="F6" s="12"/>
      <c r="G6" s="12"/>
    </row>
    <row r="7" spans="1:7" ht="18" customHeight="1">
      <c r="A7" s="11" t="s">
        <v>5</v>
      </c>
      <c r="B7" s="11"/>
      <c r="C7" s="11"/>
      <c r="D7" s="13" t="s">
        <v>6</v>
      </c>
      <c r="E7" s="13"/>
      <c r="F7" s="13"/>
      <c r="G7" s="14"/>
    </row>
    <row r="8" spans="1:7" ht="18" customHeight="1">
      <c r="A8" s="15" t="s">
        <v>411</v>
      </c>
      <c r="B8" s="15"/>
      <c r="C8" s="15"/>
      <c r="D8" s="15"/>
      <c r="E8" s="15"/>
      <c r="F8" s="15"/>
      <c r="G8" s="15"/>
    </row>
    <row r="9" spans="1:7" ht="15" customHeight="1">
      <c r="A9" s="184" t="s">
        <v>8</v>
      </c>
      <c r="B9" s="17" t="s">
        <v>9</v>
      </c>
      <c r="C9" s="18" t="s">
        <v>412</v>
      </c>
      <c r="D9" s="18"/>
      <c r="E9" s="18"/>
      <c r="F9" s="18"/>
      <c r="G9" s="17"/>
    </row>
    <row r="10" spans="1:7" ht="15.75" customHeight="1">
      <c r="A10" s="184"/>
      <c r="B10" s="17"/>
      <c r="C10" s="18"/>
      <c r="D10" s="18"/>
      <c r="E10" s="18"/>
      <c r="F10" s="18"/>
      <c r="G10" s="17"/>
    </row>
    <row r="11" spans="1:7" s="31" customFormat="1" ht="15.75" customHeight="1">
      <c r="A11" s="42" t="s">
        <v>17</v>
      </c>
      <c r="B11" s="185" t="s">
        <v>18</v>
      </c>
      <c r="C11" s="185"/>
      <c r="D11" s="185"/>
      <c r="E11" s="185"/>
      <c r="F11" s="185"/>
      <c r="G11" s="30"/>
    </row>
    <row r="12" spans="1:7" s="31" customFormat="1" ht="15.75" customHeight="1">
      <c r="A12" s="32" t="s">
        <v>19</v>
      </c>
      <c r="B12" s="33" t="s">
        <v>20</v>
      </c>
      <c r="C12" s="35">
        <v>4.5</v>
      </c>
      <c r="D12" s="186" t="s">
        <v>413</v>
      </c>
      <c r="E12" s="186"/>
      <c r="F12" s="186"/>
      <c r="G12" s="38"/>
    </row>
    <row r="13" spans="1:7" s="31" customFormat="1" ht="18.75" customHeight="1">
      <c r="A13" s="65" t="s">
        <v>24</v>
      </c>
      <c r="B13" s="40" t="s">
        <v>25</v>
      </c>
      <c r="C13" s="35">
        <f>20*1</f>
        <v>20</v>
      </c>
      <c r="D13" s="186" t="s">
        <v>414</v>
      </c>
      <c r="E13" s="186"/>
      <c r="F13" s="186"/>
      <c r="G13" s="38"/>
    </row>
    <row r="14" spans="1:7" s="31" customFormat="1" ht="15.75" customHeight="1">
      <c r="A14" s="42" t="s">
        <v>28</v>
      </c>
      <c r="B14" s="187" t="s">
        <v>29</v>
      </c>
      <c r="C14" s="187"/>
      <c r="D14" s="187"/>
      <c r="E14" s="187"/>
      <c r="F14" s="187"/>
      <c r="G14" s="38"/>
    </row>
    <row r="15" spans="1:7" s="31" customFormat="1" ht="28.5" customHeight="1">
      <c r="A15" s="34" t="s">
        <v>30</v>
      </c>
      <c r="B15" s="45" t="s">
        <v>31</v>
      </c>
      <c r="C15" s="46">
        <f>2.6*19*0.3</f>
        <v>14.819999999999999</v>
      </c>
      <c r="D15" s="186" t="s">
        <v>415</v>
      </c>
      <c r="E15" s="186"/>
      <c r="F15" s="186"/>
      <c r="G15" s="38"/>
    </row>
    <row r="16" spans="1:7" s="31" customFormat="1" ht="15.75" customHeight="1">
      <c r="A16" s="34" t="s">
        <v>35</v>
      </c>
      <c r="B16" s="47" t="s">
        <v>36</v>
      </c>
      <c r="C16" s="48">
        <v>12</v>
      </c>
      <c r="D16" s="186" t="s">
        <v>416</v>
      </c>
      <c r="E16" s="186"/>
      <c r="F16" s="186"/>
      <c r="G16" s="38"/>
    </row>
    <row r="17" spans="1:7" s="31" customFormat="1" ht="15.75" customHeight="1">
      <c r="A17" s="42" t="s">
        <v>37</v>
      </c>
      <c r="B17" s="187" t="s">
        <v>38</v>
      </c>
      <c r="C17" s="187"/>
      <c r="D17" s="187"/>
      <c r="E17" s="187"/>
      <c r="F17" s="187"/>
      <c r="G17" s="38"/>
    </row>
    <row r="18" spans="1:7" s="31" customFormat="1" ht="24.75" customHeight="1">
      <c r="A18" s="34" t="s">
        <v>39</v>
      </c>
      <c r="B18" s="47" t="s">
        <v>40</v>
      </c>
      <c r="C18" s="50">
        <f>2*0.4*0.4*0.8</f>
        <v>0.25600000000000006</v>
      </c>
      <c r="D18" s="186" t="s">
        <v>417</v>
      </c>
      <c r="E18" s="186"/>
      <c r="F18" s="186"/>
      <c r="G18" s="38"/>
    </row>
    <row r="19" spans="1:7" s="31" customFormat="1" ht="20.25" customHeight="1">
      <c r="A19" s="34" t="s">
        <v>43</v>
      </c>
      <c r="B19" s="47" t="s">
        <v>44</v>
      </c>
      <c r="C19" s="50">
        <f>19*0.22*0.3</f>
        <v>1.2539999999999998</v>
      </c>
      <c r="D19" s="186" t="s">
        <v>418</v>
      </c>
      <c r="E19" s="186"/>
      <c r="F19" s="186"/>
      <c r="G19" s="38"/>
    </row>
    <row r="20" spans="1:7" s="31" customFormat="1" ht="42.75" customHeight="1">
      <c r="A20" s="34" t="s">
        <v>46</v>
      </c>
      <c r="B20" s="45" t="s">
        <v>47</v>
      </c>
      <c r="C20" s="51">
        <f>2.6*19*0.06</f>
        <v>2.964</v>
      </c>
      <c r="D20" s="188" t="s">
        <v>419</v>
      </c>
      <c r="E20" s="188"/>
      <c r="F20" s="188"/>
      <c r="G20" s="38"/>
    </row>
    <row r="21" spans="1:7" s="31" customFormat="1" ht="15.75" customHeight="1">
      <c r="A21" s="42" t="s">
        <v>48</v>
      </c>
      <c r="B21" s="187" t="s">
        <v>49</v>
      </c>
      <c r="C21" s="187"/>
      <c r="D21" s="187"/>
      <c r="E21" s="187"/>
      <c r="F21" s="187"/>
      <c r="G21" s="38"/>
    </row>
    <row r="22" spans="1:7" s="31" customFormat="1" ht="15.75" customHeight="1">
      <c r="A22" s="34" t="s">
        <v>50</v>
      </c>
      <c r="B22" s="54" t="s">
        <v>51</v>
      </c>
      <c r="C22" s="35">
        <f>2*4.2*0.2*0.2</f>
        <v>0.3360000000000001</v>
      </c>
      <c r="D22" s="186" t="s">
        <v>420</v>
      </c>
      <c r="E22" s="186"/>
      <c r="F22" s="186"/>
      <c r="G22" s="38"/>
    </row>
    <row r="23" spans="1:7" s="31" customFormat="1" ht="15.75" customHeight="1">
      <c r="A23" s="42" t="s">
        <v>52</v>
      </c>
      <c r="B23" s="187" t="s">
        <v>53</v>
      </c>
      <c r="C23" s="187"/>
      <c r="D23" s="187"/>
      <c r="E23" s="187"/>
      <c r="F23" s="187"/>
      <c r="G23" s="38"/>
    </row>
    <row r="24" spans="1:7" s="31" customFormat="1" ht="28.5" customHeight="1">
      <c r="A24" s="34" t="s">
        <v>54</v>
      </c>
      <c r="B24" s="55" t="s">
        <v>55</v>
      </c>
      <c r="C24" s="56">
        <v>50</v>
      </c>
      <c r="D24" s="186" t="s">
        <v>421</v>
      </c>
      <c r="E24" s="186"/>
      <c r="F24" s="186"/>
      <c r="G24" s="38"/>
    </row>
    <row r="25" spans="1:7" s="31" customFormat="1" ht="15.75" customHeight="1">
      <c r="A25" s="34" t="s">
        <v>57</v>
      </c>
      <c r="B25" s="55" t="s">
        <v>58</v>
      </c>
      <c r="C25" s="57">
        <v>50</v>
      </c>
      <c r="D25" s="186" t="s">
        <v>421</v>
      </c>
      <c r="E25" s="186"/>
      <c r="F25" s="186"/>
      <c r="G25" s="38"/>
    </row>
    <row r="26" spans="1:7" s="31" customFormat="1" ht="15.75" customHeight="1">
      <c r="A26" s="34" t="s">
        <v>59</v>
      </c>
      <c r="B26" s="47" t="s">
        <v>60</v>
      </c>
      <c r="C26" s="35">
        <v>6</v>
      </c>
      <c r="D26" s="186" t="s">
        <v>422</v>
      </c>
      <c r="E26" s="186"/>
      <c r="F26" s="186"/>
      <c r="G26" s="38"/>
    </row>
    <row r="27" spans="1:7" s="31" customFormat="1" ht="15.75" customHeight="1">
      <c r="A27" s="42" t="s">
        <v>62</v>
      </c>
      <c r="B27" s="187" t="s">
        <v>63</v>
      </c>
      <c r="C27" s="187"/>
      <c r="D27" s="187"/>
      <c r="E27" s="187"/>
      <c r="F27" s="187"/>
      <c r="G27" s="38"/>
    </row>
    <row r="28" spans="1:7" s="31" customFormat="1" ht="28.5" customHeight="1">
      <c r="A28" s="34" t="s">
        <v>64</v>
      </c>
      <c r="B28" s="55" t="s">
        <v>65</v>
      </c>
      <c r="C28" s="35">
        <v>20</v>
      </c>
      <c r="D28" s="186" t="s">
        <v>423</v>
      </c>
      <c r="E28" s="186"/>
      <c r="F28" s="186"/>
      <c r="G28" s="38"/>
    </row>
    <row r="29" spans="1:7" s="31" customFormat="1" ht="15.75" customHeight="1">
      <c r="A29" s="34" t="s">
        <v>68</v>
      </c>
      <c r="B29" s="55" t="s">
        <v>69</v>
      </c>
      <c r="C29" s="35">
        <v>6</v>
      </c>
      <c r="D29" s="186" t="s">
        <v>424</v>
      </c>
      <c r="E29" s="186"/>
      <c r="F29" s="186"/>
      <c r="G29" s="38"/>
    </row>
    <row r="30" spans="1:7" s="31" customFormat="1" ht="28.5" customHeight="1">
      <c r="A30" s="34" t="s">
        <v>70</v>
      </c>
      <c r="B30" s="55" t="s">
        <v>71</v>
      </c>
      <c r="C30" s="35">
        <v>1</v>
      </c>
      <c r="D30" s="186" t="s">
        <v>425</v>
      </c>
      <c r="E30" s="186"/>
      <c r="F30" s="186"/>
      <c r="G30" s="30"/>
    </row>
    <row r="31" spans="1:7" s="31" customFormat="1" ht="15.75" customHeight="1">
      <c r="A31" s="34" t="s">
        <v>73</v>
      </c>
      <c r="B31" s="55" t="s">
        <v>74</v>
      </c>
      <c r="C31" s="35">
        <v>4</v>
      </c>
      <c r="D31" s="186" t="s">
        <v>426</v>
      </c>
      <c r="E31" s="186"/>
      <c r="F31" s="186"/>
      <c r="G31" s="30"/>
    </row>
    <row r="32" spans="1:7" s="31" customFormat="1" ht="28.5" customHeight="1">
      <c r="A32" s="34" t="s">
        <v>76</v>
      </c>
      <c r="B32" s="55" t="s">
        <v>77</v>
      </c>
      <c r="C32" s="35">
        <v>19</v>
      </c>
      <c r="D32" s="186" t="s">
        <v>427</v>
      </c>
      <c r="E32" s="186"/>
      <c r="F32" s="186"/>
      <c r="G32" s="38"/>
    </row>
    <row r="33" spans="1:7" s="31" customFormat="1" ht="28.5" customHeight="1">
      <c r="A33" s="34" t="s">
        <v>79</v>
      </c>
      <c r="B33" s="55" t="s">
        <v>80</v>
      </c>
      <c r="C33" s="35">
        <v>5</v>
      </c>
      <c r="D33" s="186" t="s">
        <v>428</v>
      </c>
      <c r="E33" s="186"/>
      <c r="F33" s="186"/>
      <c r="G33" s="38"/>
    </row>
    <row r="34" spans="1:7" s="31" customFormat="1" ht="18" customHeight="1">
      <c r="A34" s="34" t="s">
        <v>81</v>
      </c>
      <c r="B34" s="54" t="s">
        <v>82</v>
      </c>
      <c r="C34" s="35">
        <v>3</v>
      </c>
      <c r="D34" s="186" t="s">
        <v>429</v>
      </c>
      <c r="E34" s="186"/>
      <c r="F34" s="186"/>
      <c r="G34" s="38"/>
    </row>
    <row r="35" spans="1:7" s="31" customFormat="1" ht="15.75" customHeight="1">
      <c r="A35" s="34" t="s">
        <v>84</v>
      </c>
      <c r="B35" s="54" t="s">
        <v>85</v>
      </c>
      <c r="C35" s="35">
        <v>20</v>
      </c>
      <c r="D35" s="186" t="s">
        <v>423</v>
      </c>
      <c r="E35" s="186"/>
      <c r="F35" s="186"/>
      <c r="G35" s="38"/>
    </row>
    <row r="36" spans="1:7" ht="18" customHeight="1">
      <c r="A36" s="34" t="s">
        <v>87</v>
      </c>
      <c r="B36" s="54" t="s">
        <v>88</v>
      </c>
      <c r="C36" s="35">
        <v>8</v>
      </c>
      <c r="D36" s="186" t="s">
        <v>430</v>
      </c>
      <c r="E36" s="186"/>
      <c r="F36" s="186"/>
      <c r="G36" s="30"/>
    </row>
    <row r="37" spans="1:7" ht="15.75" customHeight="1">
      <c r="A37" s="34" t="s">
        <v>90</v>
      </c>
      <c r="B37" s="54" t="s">
        <v>91</v>
      </c>
      <c r="C37" s="35">
        <v>6</v>
      </c>
      <c r="D37" s="186" t="s">
        <v>424</v>
      </c>
      <c r="E37" s="186"/>
      <c r="F37" s="186"/>
      <c r="G37" s="30"/>
    </row>
    <row r="38" spans="1:7" ht="17.25" customHeight="1">
      <c r="A38" s="34" t="s">
        <v>94</v>
      </c>
      <c r="B38" s="54" t="s">
        <v>95</v>
      </c>
      <c r="C38" s="35">
        <v>4</v>
      </c>
      <c r="D38" s="186" t="s">
        <v>426</v>
      </c>
      <c r="E38" s="186"/>
      <c r="F38" s="186"/>
      <c r="G38" s="30"/>
    </row>
    <row r="39" spans="1:7" ht="15.75" customHeight="1">
      <c r="A39" s="34" t="s">
        <v>97</v>
      </c>
      <c r="B39" s="54" t="s">
        <v>98</v>
      </c>
      <c r="C39" s="35">
        <v>1</v>
      </c>
      <c r="D39" s="186" t="s">
        <v>425</v>
      </c>
      <c r="E39" s="186"/>
      <c r="F39" s="186"/>
      <c r="G39" s="30"/>
    </row>
    <row r="40" spans="1:7" ht="15.75" customHeight="1">
      <c r="A40" s="34" t="s">
        <v>100</v>
      </c>
      <c r="B40" s="54" t="s">
        <v>101</v>
      </c>
      <c r="C40" s="35">
        <v>1</v>
      </c>
      <c r="D40" s="186" t="s">
        <v>425</v>
      </c>
      <c r="E40" s="186"/>
      <c r="F40" s="186"/>
      <c r="G40" s="30"/>
    </row>
    <row r="41" spans="1:7" ht="28.5" customHeight="1">
      <c r="A41" s="34" t="s">
        <v>103</v>
      </c>
      <c r="B41" s="59" t="s">
        <v>104</v>
      </c>
      <c r="C41" s="35">
        <v>6</v>
      </c>
      <c r="D41" s="186" t="s">
        <v>424</v>
      </c>
      <c r="E41" s="186"/>
      <c r="F41" s="186"/>
      <c r="G41" s="30"/>
    </row>
    <row r="42" spans="1:7" ht="15.75" customHeight="1">
      <c r="A42" s="34" t="s">
        <v>105</v>
      </c>
      <c r="B42" s="59" t="s">
        <v>106</v>
      </c>
      <c r="C42" s="35">
        <v>3</v>
      </c>
      <c r="D42" s="186" t="s">
        <v>429</v>
      </c>
      <c r="E42" s="186"/>
      <c r="F42" s="186"/>
      <c r="G42" s="30"/>
    </row>
    <row r="43" spans="1:7" ht="15.75" customHeight="1">
      <c r="A43" s="34" t="s">
        <v>108</v>
      </c>
      <c r="B43" s="54" t="s">
        <v>109</v>
      </c>
      <c r="C43" s="35">
        <v>2</v>
      </c>
      <c r="D43" s="186" t="s">
        <v>431</v>
      </c>
      <c r="E43" s="186"/>
      <c r="F43" s="186"/>
      <c r="G43" s="30"/>
    </row>
    <row r="44" spans="1:10" ht="15.75" customHeight="1">
      <c r="A44" s="34" t="s">
        <v>111</v>
      </c>
      <c r="B44" s="54" t="s">
        <v>112</v>
      </c>
      <c r="C44" s="35">
        <v>18</v>
      </c>
      <c r="D44" s="186" t="s">
        <v>432</v>
      </c>
      <c r="E44" s="186"/>
      <c r="F44" s="186"/>
      <c r="G44" s="30"/>
      <c r="J44" s="60"/>
    </row>
    <row r="45" spans="1:10" ht="15.75" customHeight="1">
      <c r="A45" s="65" t="s">
        <v>114</v>
      </c>
      <c r="B45" s="40" t="s">
        <v>115</v>
      </c>
      <c r="C45" s="35">
        <v>69</v>
      </c>
      <c r="D45" s="186" t="s">
        <v>433</v>
      </c>
      <c r="E45" s="186"/>
      <c r="F45" s="186"/>
      <c r="G45" s="30"/>
      <c r="J45" s="60"/>
    </row>
    <row r="46" spans="1:10" ht="15.75" customHeight="1">
      <c r="A46" s="65" t="s">
        <v>116</v>
      </c>
      <c r="B46" s="40" t="s">
        <v>117</v>
      </c>
      <c r="C46" s="35">
        <v>11</v>
      </c>
      <c r="D46" s="186" t="s">
        <v>434</v>
      </c>
      <c r="E46" s="186"/>
      <c r="F46" s="186"/>
      <c r="G46" s="30"/>
      <c r="J46" s="60"/>
    </row>
    <row r="47" spans="1:7" ht="17.25" customHeight="1">
      <c r="A47" s="34" t="s">
        <v>119</v>
      </c>
      <c r="B47" s="54" t="s">
        <v>120</v>
      </c>
      <c r="C47" s="35">
        <v>4</v>
      </c>
      <c r="D47" s="186" t="s">
        <v>426</v>
      </c>
      <c r="E47" s="186"/>
      <c r="F47" s="186"/>
      <c r="G47" s="30"/>
    </row>
    <row r="48" spans="1:7" ht="15.75" customHeight="1">
      <c r="A48" s="42" t="s">
        <v>122</v>
      </c>
      <c r="B48" s="187" t="s">
        <v>123</v>
      </c>
      <c r="C48" s="187"/>
      <c r="D48" s="187"/>
      <c r="E48" s="187"/>
      <c r="F48" s="187"/>
      <c r="G48" s="30"/>
    </row>
    <row r="49" spans="1:7" ht="15.75" customHeight="1">
      <c r="A49" s="34" t="s">
        <v>124</v>
      </c>
      <c r="B49" s="54" t="s">
        <v>125</v>
      </c>
      <c r="C49" s="35">
        <v>17</v>
      </c>
      <c r="D49" s="186" t="s">
        <v>435</v>
      </c>
      <c r="E49" s="186"/>
      <c r="F49" s="186"/>
      <c r="G49" s="30"/>
    </row>
    <row r="50" spans="1:7" ht="15.75" customHeight="1">
      <c r="A50" s="34" t="s">
        <v>126</v>
      </c>
      <c r="B50" s="55" t="s">
        <v>127</v>
      </c>
      <c r="C50" s="35">
        <v>10</v>
      </c>
      <c r="D50" s="186" t="s">
        <v>436</v>
      </c>
      <c r="E50" s="186"/>
      <c r="F50" s="186"/>
      <c r="G50" s="30"/>
    </row>
    <row r="51" spans="1:7" ht="20.25" customHeight="1">
      <c r="A51" s="34" t="s">
        <v>128</v>
      </c>
      <c r="B51" s="54" t="s">
        <v>129</v>
      </c>
      <c r="C51" s="35">
        <v>5</v>
      </c>
      <c r="D51" s="186" t="s">
        <v>428</v>
      </c>
      <c r="E51" s="186"/>
      <c r="F51" s="186"/>
      <c r="G51" s="30"/>
    </row>
    <row r="52" spans="1:7" ht="18.75" customHeight="1">
      <c r="A52" s="34" t="s">
        <v>131</v>
      </c>
      <c r="B52" s="54" t="s">
        <v>132</v>
      </c>
      <c r="C52" s="35">
        <v>5</v>
      </c>
      <c r="D52" s="186" t="s">
        <v>428</v>
      </c>
      <c r="E52" s="186"/>
      <c r="F52" s="186"/>
      <c r="G52" s="30"/>
    </row>
    <row r="53" spans="1:7" ht="15.75" customHeight="1">
      <c r="A53" s="34" t="s">
        <v>134</v>
      </c>
      <c r="B53" s="54" t="s">
        <v>135</v>
      </c>
      <c r="C53" s="35">
        <v>11</v>
      </c>
      <c r="D53" s="186" t="s">
        <v>434</v>
      </c>
      <c r="E53" s="186"/>
      <c r="F53" s="186"/>
      <c r="G53" s="30"/>
    </row>
    <row r="54" spans="1:7" ht="17.25" customHeight="1">
      <c r="A54" s="34" t="s">
        <v>137</v>
      </c>
      <c r="B54" s="54" t="s">
        <v>138</v>
      </c>
      <c r="C54" s="35">
        <v>7</v>
      </c>
      <c r="D54" s="186" t="s">
        <v>437</v>
      </c>
      <c r="E54" s="186"/>
      <c r="F54" s="186"/>
      <c r="G54" s="30"/>
    </row>
    <row r="55" spans="1:7" ht="15.75" customHeight="1">
      <c r="A55" s="34" t="s">
        <v>140</v>
      </c>
      <c r="B55" s="54" t="s">
        <v>141</v>
      </c>
      <c r="C55" s="35">
        <v>29</v>
      </c>
      <c r="D55" s="186" t="s">
        <v>438</v>
      </c>
      <c r="E55" s="186"/>
      <c r="F55" s="186"/>
      <c r="G55" s="30"/>
    </row>
    <row r="56" spans="1:7" ht="15.75" customHeight="1">
      <c r="A56" s="65" t="s">
        <v>143</v>
      </c>
      <c r="B56" s="40" t="s">
        <v>144</v>
      </c>
      <c r="C56" s="35">
        <v>10</v>
      </c>
      <c r="D56" s="186" t="s">
        <v>436</v>
      </c>
      <c r="E56" s="186"/>
      <c r="F56" s="186"/>
      <c r="G56" s="30"/>
    </row>
    <row r="57" spans="1:7" ht="15.75" customHeight="1">
      <c r="A57" s="65" t="s">
        <v>145</v>
      </c>
      <c r="B57" s="40" t="s">
        <v>146</v>
      </c>
      <c r="C57" s="35">
        <v>5</v>
      </c>
      <c r="D57" s="186" t="s">
        <v>428</v>
      </c>
      <c r="E57" s="186"/>
      <c r="F57" s="186"/>
      <c r="G57" s="30"/>
    </row>
    <row r="58" spans="1:7" ht="18.75" customHeight="1">
      <c r="A58" s="65" t="s">
        <v>147</v>
      </c>
      <c r="B58" s="40" t="s">
        <v>148</v>
      </c>
      <c r="C58" s="35">
        <v>2</v>
      </c>
      <c r="D58" s="186" t="s">
        <v>431</v>
      </c>
      <c r="E58" s="186"/>
      <c r="F58" s="186"/>
      <c r="G58" s="30"/>
    </row>
    <row r="59" spans="1:7" ht="15.75" customHeight="1">
      <c r="A59" s="65" t="s">
        <v>150</v>
      </c>
      <c r="B59" s="40" t="s">
        <v>151</v>
      </c>
      <c r="C59" s="35">
        <v>4</v>
      </c>
      <c r="D59" s="186" t="s">
        <v>426</v>
      </c>
      <c r="E59" s="186"/>
      <c r="F59" s="186"/>
      <c r="G59" s="30"/>
    </row>
    <row r="60" spans="1:11" ht="15.75" customHeight="1">
      <c r="A60" s="42" t="s">
        <v>152</v>
      </c>
      <c r="B60" s="187" t="s">
        <v>153</v>
      </c>
      <c r="C60" s="187"/>
      <c r="D60" s="187"/>
      <c r="E60" s="187"/>
      <c r="F60" s="187"/>
      <c r="G60" s="30"/>
      <c r="I60" s="61"/>
      <c r="J60" s="61"/>
      <c r="K60" s="61"/>
    </row>
    <row r="61" spans="1:11" ht="28.5" customHeight="1">
      <c r="A61" s="34" t="s">
        <v>154</v>
      </c>
      <c r="B61" s="55" t="s">
        <v>155</v>
      </c>
      <c r="C61" s="56">
        <f>36*1.2</f>
        <v>43.199999999999996</v>
      </c>
      <c r="D61" s="186" t="s">
        <v>439</v>
      </c>
      <c r="E61" s="186"/>
      <c r="F61" s="186"/>
      <c r="G61" s="30"/>
      <c r="I61" s="61"/>
      <c r="J61" s="61"/>
      <c r="K61" s="61"/>
    </row>
    <row r="62" spans="1:11" ht="28.5" customHeight="1">
      <c r="A62" s="34" t="s">
        <v>157</v>
      </c>
      <c r="B62" s="55" t="s">
        <v>158</v>
      </c>
      <c r="C62" s="56">
        <f>8.5*3.5</f>
        <v>29.75</v>
      </c>
      <c r="D62" s="186" t="s">
        <v>440</v>
      </c>
      <c r="E62" s="186"/>
      <c r="F62" s="186"/>
      <c r="G62" s="30"/>
      <c r="I62" s="61"/>
      <c r="J62" s="61"/>
      <c r="K62" s="61"/>
    </row>
    <row r="63" spans="1:11" ht="28.5" customHeight="1">
      <c r="A63" s="34" t="s">
        <v>160</v>
      </c>
      <c r="B63" s="55" t="s">
        <v>161</v>
      </c>
      <c r="C63" s="35">
        <f>36*1.2</f>
        <v>43.199999999999996</v>
      </c>
      <c r="D63" s="186" t="s">
        <v>439</v>
      </c>
      <c r="E63" s="186"/>
      <c r="F63" s="186"/>
      <c r="G63" s="30"/>
      <c r="I63" s="61"/>
      <c r="J63" s="61"/>
      <c r="K63" s="61"/>
    </row>
    <row r="64" spans="1:7" ht="28.5" customHeight="1">
      <c r="A64" s="34" t="s">
        <v>163</v>
      </c>
      <c r="B64" s="55" t="s">
        <v>164</v>
      </c>
      <c r="C64" s="35">
        <f>2.5*3.5</f>
        <v>8.75</v>
      </c>
      <c r="D64" s="186" t="s">
        <v>441</v>
      </c>
      <c r="E64" s="186"/>
      <c r="F64" s="186"/>
      <c r="G64" s="30"/>
    </row>
    <row r="65" spans="1:7" ht="15.75" customHeight="1">
      <c r="A65" s="65" t="s">
        <v>166</v>
      </c>
      <c r="B65" s="40" t="s">
        <v>167</v>
      </c>
      <c r="C65" s="35">
        <v>150</v>
      </c>
      <c r="D65" s="186" t="s">
        <v>442</v>
      </c>
      <c r="E65" s="186"/>
      <c r="F65" s="186"/>
      <c r="G65" s="30"/>
    </row>
    <row r="66" spans="1:7" ht="15.75" customHeight="1">
      <c r="A66" s="65" t="s">
        <v>169</v>
      </c>
      <c r="B66" s="40" t="s">
        <v>170</v>
      </c>
      <c r="C66" s="35">
        <f>6*4</f>
        <v>24</v>
      </c>
      <c r="D66" s="186" t="s">
        <v>443</v>
      </c>
      <c r="E66" s="186"/>
      <c r="F66" s="186"/>
      <c r="G66" s="30"/>
    </row>
    <row r="67" spans="1:7" ht="15.75" customHeight="1">
      <c r="A67" s="42" t="s">
        <v>172</v>
      </c>
      <c r="B67" s="187" t="s">
        <v>173</v>
      </c>
      <c r="C67" s="187"/>
      <c r="D67" s="187"/>
      <c r="E67" s="187"/>
      <c r="F67" s="187"/>
      <c r="G67" s="30"/>
    </row>
    <row r="68" spans="1:7" ht="18" customHeight="1">
      <c r="A68" s="34" t="s">
        <v>174</v>
      </c>
      <c r="B68" s="54" t="s">
        <v>175</v>
      </c>
      <c r="C68" s="35">
        <f>0.8*1</f>
        <v>0.8</v>
      </c>
      <c r="D68" s="186" t="s">
        <v>444</v>
      </c>
      <c r="E68" s="186"/>
      <c r="F68" s="186"/>
      <c r="G68" s="30"/>
    </row>
    <row r="69" spans="1:7" ht="18" customHeight="1">
      <c r="A69" s="34" t="s">
        <v>176</v>
      </c>
      <c r="B69" s="54" t="s">
        <v>177</v>
      </c>
      <c r="C69" s="35">
        <v>0.8</v>
      </c>
      <c r="D69" s="186" t="s">
        <v>444</v>
      </c>
      <c r="E69" s="186"/>
      <c r="F69" s="186"/>
      <c r="G69" s="30"/>
    </row>
    <row r="70" spans="1:7" ht="17.25" customHeight="1">
      <c r="A70" s="34" t="s">
        <v>178</v>
      </c>
      <c r="B70" s="54" t="s">
        <v>179</v>
      </c>
      <c r="C70" s="35">
        <f>47.63*0.8</f>
        <v>38.104000000000006</v>
      </c>
      <c r="D70" s="186" t="s">
        <v>445</v>
      </c>
      <c r="E70" s="186"/>
      <c r="F70" s="186"/>
      <c r="G70" s="30"/>
    </row>
    <row r="71" spans="1:7" ht="17.25" customHeight="1">
      <c r="A71" s="65" t="s">
        <v>181</v>
      </c>
      <c r="B71" s="40" t="s">
        <v>182</v>
      </c>
      <c r="C71" s="35">
        <v>4</v>
      </c>
      <c r="D71" s="186" t="s">
        <v>426</v>
      </c>
      <c r="E71" s="186"/>
      <c r="F71" s="186"/>
      <c r="G71" s="30"/>
    </row>
    <row r="72" spans="1:7" ht="17.25" customHeight="1">
      <c r="A72" s="65" t="s">
        <v>184</v>
      </c>
      <c r="B72" s="40" t="s">
        <v>185</v>
      </c>
      <c r="C72" s="35">
        <v>7.2</v>
      </c>
      <c r="D72" s="186" t="s">
        <v>446</v>
      </c>
      <c r="E72" s="186"/>
      <c r="F72" s="186"/>
      <c r="G72" s="30"/>
    </row>
    <row r="73" spans="1:7" ht="17.25" customHeight="1">
      <c r="A73" s="42" t="s">
        <v>186</v>
      </c>
      <c r="B73" s="187" t="s">
        <v>187</v>
      </c>
      <c r="C73" s="187"/>
      <c r="D73" s="187"/>
      <c r="E73" s="187"/>
      <c r="F73" s="187"/>
      <c r="G73" s="30"/>
    </row>
    <row r="74" spans="1:7" ht="17.25" customHeight="1">
      <c r="A74" s="65" t="s">
        <v>188</v>
      </c>
      <c r="B74" s="40" t="s">
        <v>189</v>
      </c>
      <c r="C74" s="35">
        <f>(97+30)*1.8</f>
        <v>228.6</v>
      </c>
      <c r="D74" s="186" t="s">
        <v>447</v>
      </c>
      <c r="E74" s="186"/>
      <c r="F74" s="186"/>
      <c r="G74" s="30"/>
    </row>
    <row r="75" spans="1:7" ht="17.25" customHeight="1">
      <c r="A75" s="65" t="s">
        <v>190</v>
      </c>
      <c r="B75" s="40" t="s">
        <v>191</v>
      </c>
      <c r="C75" s="35">
        <f aca="true" t="shared" si="0" ref="C75:C76">20*1</f>
        <v>20</v>
      </c>
      <c r="D75" s="186" t="s">
        <v>414</v>
      </c>
      <c r="E75" s="186"/>
      <c r="F75" s="186"/>
      <c r="G75" s="30"/>
    </row>
    <row r="76" spans="1:7" ht="17.25" customHeight="1">
      <c r="A76" s="65" t="s">
        <v>192</v>
      </c>
      <c r="B76" s="40" t="s">
        <v>193</v>
      </c>
      <c r="C76" s="35">
        <f t="shared" si="0"/>
        <v>20</v>
      </c>
      <c r="D76" s="186" t="s">
        <v>414</v>
      </c>
      <c r="E76" s="186"/>
      <c r="F76" s="186"/>
      <c r="G76" s="30"/>
    </row>
    <row r="77" spans="1:7" ht="15.75" customHeight="1">
      <c r="A77" s="42" t="s">
        <v>194</v>
      </c>
      <c r="B77" s="187" t="s">
        <v>195</v>
      </c>
      <c r="C77" s="187"/>
      <c r="D77" s="187"/>
      <c r="E77" s="187"/>
      <c r="F77" s="187"/>
      <c r="G77" s="30"/>
    </row>
    <row r="78" spans="1:7" ht="28.5" customHeight="1">
      <c r="A78" s="34" t="s">
        <v>196</v>
      </c>
      <c r="B78" s="55" t="s">
        <v>197</v>
      </c>
      <c r="C78" s="56">
        <f>158.55*2.8</f>
        <v>443.94</v>
      </c>
      <c r="D78" s="186" t="s">
        <v>448</v>
      </c>
      <c r="E78" s="186"/>
      <c r="F78" s="186"/>
      <c r="G78" s="30"/>
    </row>
    <row r="79" spans="1:7" ht="28.5" customHeight="1">
      <c r="A79" s="34" t="s">
        <v>198</v>
      </c>
      <c r="B79" s="55" t="s">
        <v>199</v>
      </c>
      <c r="C79" s="56">
        <v>443.94</v>
      </c>
      <c r="D79" s="186" t="s">
        <v>448</v>
      </c>
      <c r="E79" s="186"/>
      <c r="F79" s="186"/>
      <c r="G79" s="30"/>
    </row>
    <row r="80" spans="1:7" ht="28.5" customHeight="1">
      <c r="A80" s="34" t="s">
        <v>200</v>
      </c>
      <c r="B80" s="55" t="s">
        <v>201</v>
      </c>
      <c r="C80" s="56">
        <f>36.89*2.8</f>
        <v>103.292</v>
      </c>
      <c r="D80" s="186" t="s">
        <v>449</v>
      </c>
      <c r="E80" s="186"/>
      <c r="F80" s="186"/>
      <c r="G80" s="30"/>
    </row>
    <row r="81" spans="1:7" ht="18.75" customHeight="1">
      <c r="A81" s="34" t="s">
        <v>203</v>
      </c>
      <c r="B81" s="54" t="s">
        <v>204</v>
      </c>
      <c r="C81" s="35">
        <f>123.92*3.3</f>
        <v>408.936</v>
      </c>
      <c r="D81" s="186" t="s">
        <v>450</v>
      </c>
      <c r="E81" s="186"/>
      <c r="F81" s="186"/>
      <c r="G81" s="30"/>
    </row>
    <row r="82" spans="1:7" ht="28.5" customHeight="1">
      <c r="A82" s="34" t="s">
        <v>206</v>
      </c>
      <c r="B82" s="55" t="s">
        <v>207</v>
      </c>
      <c r="C82" s="35">
        <v>268.94</v>
      </c>
      <c r="D82" s="186" t="s">
        <v>451</v>
      </c>
      <c r="E82" s="186"/>
      <c r="F82" s="186"/>
      <c r="G82" s="30"/>
    </row>
    <row r="83" spans="1:7" ht="28.5" customHeight="1">
      <c r="A83" s="34" t="s">
        <v>208</v>
      </c>
      <c r="B83" s="55" t="s">
        <v>209</v>
      </c>
      <c r="C83" s="35">
        <v>268.94</v>
      </c>
      <c r="D83" s="186" t="s">
        <v>451</v>
      </c>
      <c r="E83" s="186"/>
      <c r="F83" s="186"/>
      <c r="G83" s="30"/>
    </row>
    <row r="84" spans="1:7" ht="15.75" customHeight="1">
      <c r="A84" s="65" t="s">
        <v>210</v>
      </c>
      <c r="B84" s="40" t="s">
        <v>211</v>
      </c>
      <c r="C84" s="35">
        <f>(23.16+6.35+20.61+13.6+8.9+13.45)*0.6</f>
        <v>51.642</v>
      </c>
      <c r="D84" s="186" t="s">
        <v>452</v>
      </c>
      <c r="E84" s="186"/>
      <c r="F84" s="186"/>
      <c r="G84" s="30"/>
    </row>
    <row r="85" spans="1:7" ht="15.75" customHeight="1">
      <c r="A85" s="65" t="s">
        <v>213</v>
      </c>
      <c r="B85" s="40" t="s">
        <v>214</v>
      </c>
      <c r="C85" s="35">
        <f>(29*0.8*2.1)*2.5</f>
        <v>121.80000000000001</v>
      </c>
      <c r="D85" s="186" t="s">
        <v>453</v>
      </c>
      <c r="E85" s="186"/>
      <c r="F85" s="186"/>
      <c r="G85" s="30"/>
    </row>
    <row r="86" spans="1:7" ht="28.5" customHeight="1">
      <c r="A86" s="34" t="s">
        <v>216</v>
      </c>
      <c r="B86" s="55" t="s">
        <v>217</v>
      </c>
      <c r="C86" s="35">
        <f>21.75*0.8</f>
        <v>17.400000000000002</v>
      </c>
      <c r="D86" s="186" t="s">
        <v>454</v>
      </c>
      <c r="E86" s="186"/>
      <c r="F86" s="186"/>
      <c r="G86" s="30"/>
    </row>
    <row r="87" spans="1:7" ht="28.5" customHeight="1">
      <c r="A87" s="34" t="s">
        <v>218</v>
      </c>
      <c r="B87" s="63" t="s">
        <v>219</v>
      </c>
      <c r="C87" s="35">
        <f>18.36*1.8*2</f>
        <v>66.096</v>
      </c>
      <c r="D87" s="186" t="s">
        <v>455</v>
      </c>
      <c r="E87" s="186"/>
      <c r="F87" s="186"/>
      <c r="G87" s="30"/>
    </row>
    <row r="88" spans="1:7" ht="15.75" customHeight="1">
      <c r="A88" s="189" t="s">
        <v>220</v>
      </c>
      <c r="B88" s="185" t="s">
        <v>221</v>
      </c>
      <c r="C88" s="185"/>
      <c r="D88" s="185"/>
      <c r="E88" s="185"/>
      <c r="F88" s="185"/>
      <c r="G88" s="30"/>
    </row>
    <row r="89" spans="1:7" ht="15.75" customHeight="1">
      <c r="A89" s="34" t="s">
        <v>222</v>
      </c>
      <c r="B89" s="54" t="s">
        <v>223</v>
      </c>
      <c r="C89" s="35">
        <v>2</v>
      </c>
      <c r="D89" s="186" t="s">
        <v>431</v>
      </c>
      <c r="E89" s="186"/>
      <c r="F89" s="186"/>
      <c r="G89" s="30"/>
    </row>
    <row r="90" spans="1:7" ht="15.75" customHeight="1">
      <c r="A90" s="34" t="s">
        <v>224</v>
      </c>
      <c r="B90" s="54" t="s">
        <v>225</v>
      </c>
      <c r="C90" s="35">
        <v>2</v>
      </c>
      <c r="D90" s="186" t="s">
        <v>431</v>
      </c>
      <c r="E90" s="186"/>
      <c r="F90" s="186"/>
      <c r="G90" s="30"/>
    </row>
    <row r="91" spans="1:7" ht="15.75" customHeight="1">
      <c r="A91" s="34" t="s">
        <v>226</v>
      </c>
      <c r="B91" s="54" t="s">
        <v>227</v>
      </c>
      <c r="C91" s="35">
        <v>2</v>
      </c>
      <c r="D91" s="186" t="s">
        <v>431</v>
      </c>
      <c r="E91" s="186"/>
      <c r="F91" s="186"/>
      <c r="G91" s="30"/>
    </row>
    <row r="92" spans="1:7" ht="15.75" customHeight="1">
      <c r="A92" s="65" t="s">
        <v>229</v>
      </c>
      <c r="B92" s="40" t="s">
        <v>230</v>
      </c>
      <c r="C92" s="35">
        <f>2*25</f>
        <v>50</v>
      </c>
      <c r="D92" s="186" t="s">
        <v>456</v>
      </c>
      <c r="E92" s="186"/>
      <c r="F92" s="186"/>
      <c r="G92" s="30"/>
    </row>
    <row r="93" spans="1:7" ht="15.75" customHeight="1">
      <c r="A93" s="65" t="s">
        <v>231</v>
      </c>
      <c r="B93" s="40" t="s">
        <v>232</v>
      </c>
      <c r="C93" s="35">
        <f>0.6*0.4*6</f>
        <v>1.44</v>
      </c>
      <c r="D93" s="186" t="s">
        <v>457</v>
      </c>
      <c r="E93" s="186"/>
      <c r="F93" s="186"/>
      <c r="G93" s="30"/>
    </row>
    <row r="94" spans="1:7" ht="15.75" customHeight="1">
      <c r="A94" s="65" t="s">
        <v>233</v>
      </c>
      <c r="B94" s="40" t="s">
        <v>234</v>
      </c>
      <c r="C94" s="35">
        <f>15+15</f>
        <v>30</v>
      </c>
      <c r="D94" s="186" t="s">
        <v>458</v>
      </c>
      <c r="E94" s="186"/>
      <c r="F94" s="186"/>
      <c r="G94" s="30"/>
    </row>
    <row r="95" spans="1:7" ht="28.5" customHeight="1">
      <c r="A95" s="34" t="s">
        <v>236</v>
      </c>
      <c r="B95" s="63" t="s">
        <v>237</v>
      </c>
      <c r="C95" s="35">
        <v>50</v>
      </c>
      <c r="D95" s="186" t="s">
        <v>459</v>
      </c>
      <c r="E95" s="186"/>
      <c r="F95" s="186"/>
      <c r="G95" s="30"/>
    </row>
    <row r="96" spans="1:7" ht="15.75" customHeight="1">
      <c r="A96" s="65" t="s">
        <v>239</v>
      </c>
      <c r="B96" s="54" t="s">
        <v>240</v>
      </c>
      <c r="C96" s="51">
        <v>4</v>
      </c>
      <c r="D96" s="186" t="s">
        <v>426</v>
      </c>
      <c r="E96" s="186"/>
      <c r="F96" s="186"/>
      <c r="G96" s="30"/>
    </row>
    <row r="97" spans="1:7" ht="15.75" customHeight="1">
      <c r="A97" s="65" t="s">
        <v>241</v>
      </c>
      <c r="B97" s="54" t="s">
        <v>242</v>
      </c>
      <c r="C97" s="51">
        <v>4</v>
      </c>
      <c r="D97" s="186" t="s">
        <v>426</v>
      </c>
      <c r="E97" s="186"/>
      <c r="F97" s="186"/>
      <c r="G97" s="30"/>
    </row>
    <row r="98" spans="1:7" ht="42.75" customHeight="1">
      <c r="A98" s="34" t="s">
        <v>243</v>
      </c>
      <c r="B98" s="63" t="s">
        <v>244</v>
      </c>
      <c r="C98" s="35">
        <f>37*2</f>
        <v>74</v>
      </c>
      <c r="D98" s="186" t="s">
        <v>460</v>
      </c>
      <c r="E98" s="186"/>
      <c r="F98" s="186"/>
      <c r="G98" s="30"/>
    </row>
    <row r="99" spans="1:7" ht="18" customHeight="1">
      <c r="A99" s="65" t="s">
        <v>246</v>
      </c>
      <c r="B99" s="40" t="s">
        <v>247</v>
      </c>
      <c r="C99" s="35">
        <f>2.78*1.8</f>
        <v>5.004</v>
      </c>
      <c r="D99" s="186" t="s">
        <v>461</v>
      </c>
      <c r="E99" s="186"/>
      <c r="F99" s="186"/>
      <c r="G99" s="30"/>
    </row>
    <row r="100" spans="1:7" ht="18" customHeight="1">
      <c r="A100" s="65" t="s">
        <v>249</v>
      </c>
      <c r="B100" s="40" t="s">
        <v>250</v>
      </c>
      <c r="C100" s="35">
        <f>14.35+14.35</f>
        <v>28.7</v>
      </c>
      <c r="D100" s="186" t="s">
        <v>462</v>
      </c>
      <c r="E100" s="186"/>
      <c r="F100" s="186"/>
      <c r="G100" s="30"/>
    </row>
    <row r="101" spans="1:7" ht="18" customHeight="1">
      <c r="A101" s="65" t="s">
        <v>252</v>
      </c>
      <c r="B101" s="40" t="s">
        <v>253</v>
      </c>
      <c r="C101" s="35">
        <v>301.07</v>
      </c>
      <c r="D101" s="186" t="s">
        <v>463</v>
      </c>
      <c r="E101" s="186"/>
      <c r="F101" s="186"/>
      <c r="G101" s="30"/>
    </row>
    <row r="102" spans="1:6" ht="18" customHeight="1">
      <c r="A102" s="68" t="s">
        <v>255</v>
      </c>
      <c r="B102" s="68"/>
      <c r="C102" s="68"/>
      <c r="D102" s="68"/>
      <c r="E102" s="68"/>
      <c r="F102" s="68"/>
    </row>
    <row r="103" spans="1:6" ht="18" customHeight="1">
      <c r="A103" s="42" t="s">
        <v>256</v>
      </c>
      <c r="B103" s="69" t="s">
        <v>18</v>
      </c>
      <c r="C103" s="70" t="s">
        <v>464</v>
      </c>
      <c r="D103" s="70"/>
      <c r="E103" s="70"/>
      <c r="F103" s="70"/>
    </row>
    <row r="104" spans="1:6" ht="18" customHeight="1">
      <c r="A104" s="65" t="s">
        <v>260</v>
      </c>
      <c r="B104" s="40" t="s">
        <v>261</v>
      </c>
      <c r="C104" s="40">
        <v>15.58</v>
      </c>
      <c r="D104" s="39" t="s">
        <v>465</v>
      </c>
      <c r="E104" s="39"/>
      <c r="F104" s="39"/>
    </row>
    <row r="105" spans="1:6" ht="18" customHeight="1">
      <c r="A105" s="34" t="s">
        <v>264</v>
      </c>
      <c r="B105" s="63" t="s">
        <v>265</v>
      </c>
      <c r="C105" s="63">
        <v>15.58</v>
      </c>
      <c r="D105" s="39" t="s">
        <v>465</v>
      </c>
      <c r="E105" s="39"/>
      <c r="F105" s="39"/>
    </row>
    <row r="106" spans="1:6" ht="18" customHeight="1">
      <c r="A106" s="189" t="s">
        <v>267</v>
      </c>
      <c r="B106" s="185" t="s">
        <v>29</v>
      </c>
      <c r="C106" s="185"/>
      <c r="D106" s="185"/>
      <c r="E106" s="185"/>
      <c r="F106" s="185"/>
    </row>
    <row r="107" spans="1:6" ht="18" customHeight="1">
      <c r="A107" s="34" t="s">
        <v>268</v>
      </c>
      <c r="B107" s="63" t="s">
        <v>269</v>
      </c>
      <c r="C107" s="63">
        <v>15.58</v>
      </c>
      <c r="D107" s="41" t="s">
        <v>466</v>
      </c>
      <c r="E107" s="41"/>
      <c r="F107" s="41"/>
    </row>
    <row r="108" spans="1:6" ht="18" customHeight="1">
      <c r="A108" s="65" t="s">
        <v>272</v>
      </c>
      <c r="B108" s="40" t="s">
        <v>273</v>
      </c>
      <c r="C108" s="40">
        <v>3.29</v>
      </c>
      <c r="D108" s="39" t="s">
        <v>467</v>
      </c>
      <c r="E108" s="39"/>
      <c r="F108" s="39"/>
    </row>
    <row r="109" spans="1:6" ht="18" customHeight="1">
      <c r="A109" s="34" t="s">
        <v>274</v>
      </c>
      <c r="B109" s="63" t="s">
        <v>275</v>
      </c>
      <c r="C109" s="63">
        <v>6.44</v>
      </c>
      <c r="D109" s="41" t="s">
        <v>468</v>
      </c>
      <c r="E109" s="41"/>
      <c r="F109" s="41"/>
    </row>
    <row r="110" spans="1:6" ht="18" customHeight="1">
      <c r="A110" s="65" t="s">
        <v>276</v>
      </c>
      <c r="B110" s="40" t="s">
        <v>277</v>
      </c>
      <c r="C110" s="40">
        <v>6</v>
      </c>
      <c r="D110" s="39" t="s">
        <v>469</v>
      </c>
      <c r="E110" s="39"/>
      <c r="F110" s="39"/>
    </row>
    <row r="111" spans="1:6" ht="18" customHeight="1">
      <c r="A111" s="42" t="s">
        <v>278</v>
      </c>
      <c r="B111" s="190" t="s">
        <v>38</v>
      </c>
      <c r="C111" s="190"/>
      <c r="D111" s="190"/>
      <c r="E111" s="190"/>
      <c r="F111" s="190"/>
    </row>
    <row r="112" spans="1:6" ht="18" customHeight="1">
      <c r="A112" s="65" t="s">
        <v>279</v>
      </c>
      <c r="B112" s="40" t="s">
        <v>280</v>
      </c>
      <c r="C112" s="40">
        <v>3.22</v>
      </c>
      <c r="D112" s="39" t="s">
        <v>470</v>
      </c>
      <c r="E112" s="39"/>
      <c r="F112" s="39"/>
    </row>
    <row r="113" spans="1:6" ht="18" customHeight="1">
      <c r="A113" s="34" t="s">
        <v>282</v>
      </c>
      <c r="B113" s="63" t="s">
        <v>283</v>
      </c>
      <c r="C113" s="63">
        <v>4.83</v>
      </c>
      <c r="D113" s="41" t="s">
        <v>471</v>
      </c>
      <c r="E113" s="41"/>
      <c r="F113" s="41"/>
    </row>
    <row r="114" spans="1:6" ht="18" customHeight="1">
      <c r="A114" s="65" t="s">
        <v>284</v>
      </c>
      <c r="B114" s="40" t="s">
        <v>285</v>
      </c>
      <c r="C114" s="40">
        <v>0.48</v>
      </c>
      <c r="D114" s="39" t="s">
        <v>472</v>
      </c>
      <c r="E114" s="39"/>
      <c r="F114" s="39"/>
    </row>
    <row r="115" spans="1:6" ht="18" customHeight="1">
      <c r="A115" s="34" t="s">
        <v>286</v>
      </c>
      <c r="B115" s="63" t="s">
        <v>287</v>
      </c>
      <c r="C115" s="63">
        <v>13.16</v>
      </c>
      <c r="D115" s="41" t="s">
        <v>473</v>
      </c>
      <c r="E115" s="41"/>
      <c r="F115" s="41"/>
    </row>
    <row r="116" spans="1:6" ht="18" customHeight="1">
      <c r="A116" s="189" t="s">
        <v>290</v>
      </c>
      <c r="B116" s="185" t="s">
        <v>49</v>
      </c>
      <c r="C116" s="185"/>
      <c r="D116" s="185"/>
      <c r="E116" s="185"/>
      <c r="F116" s="185"/>
    </row>
    <row r="117" spans="1:6" ht="18" customHeight="1">
      <c r="A117" s="34" t="s">
        <v>291</v>
      </c>
      <c r="B117" s="63" t="s">
        <v>292</v>
      </c>
      <c r="C117" s="63">
        <v>44.43</v>
      </c>
      <c r="D117" s="41" t="s">
        <v>474</v>
      </c>
      <c r="E117" s="41"/>
      <c r="F117" s="41"/>
    </row>
    <row r="118" spans="1:6" ht="18" customHeight="1">
      <c r="A118" s="189" t="s">
        <v>294</v>
      </c>
      <c r="B118" s="185" t="s">
        <v>53</v>
      </c>
      <c r="C118" s="185"/>
      <c r="D118" s="185"/>
      <c r="E118" s="185"/>
      <c r="F118" s="185"/>
    </row>
    <row r="119" spans="1:6" ht="18" customHeight="1">
      <c r="A119" s="34" t="s">
        <v>295</v>
      </c>
      <c r="B119" s="63" t="s">
        <v>296</v>
      </c>
      <c r="C119" s="63">
        <v>25.5</v>
      </c>
      <c r="D119" s="41" t="s">
        <v>475</v>
      </c>
      <c r="E119" s="41"/>
      <c r="F119" s="41"/>
    </row>
    <row r="120" spans="1:6" ht="18" customHeight="1">
      <c r="A120" s="65" t="s">
        <v>297</v>
      </c>
      <c r="B120" s="40" t="s">
        <v>298</v>
      </c>
      <c r="C120" s="40">
        <v>25.5</v>
      </c>
      <c r="D120" s="41" t="s">
        <v>475</v>
      </c>
      <c r="E120" s="41"/>
      <c r="F120" s="41"/>
    </row>
    <row r="121" spans="1:6" ht="18" customHeight="1">
      <c r="A121" s="34" t="s">
        <v>300</v>
      </c>
      <c r="B121" s="63" t="s">
        <v>301</v>
      </c>
      <c r="C121" s="63">
        <v>25.5</v>
      </c>
      <c r="D121" s="41" t="s">
        <v>475</v>
      </c>
      <c r="E121" s="41"/>
      <c r="F121" s="41"/>
    </row>
    <row r="122" spans="1:6" ht="18" customHeight="1">
      <c r="A122" s="65" t="s">
        <v>302</v>
      </c>
      <c r="B122" s="40" t="s">
        <v>303</v>
      </c>
      <c r="C122" s="40">
        <v>20.4</v>
      </c>
      <c r="D122" s="39" t="s">
        <v>476</v>
      </c>
      <c r="E122" s="39"/>
      <c r="F122" s="39"/>
    </row>
    <row r="123" spans="1:6" ht="18" customHeight="1">
      <c r="A123" s="42" t="s">
        <v>304</v>
      </c>
      <c r="B123" s="190" t="s">
        <v>305</v>
      </c>
      <c r="C123" s="190"/>
      <c r="D123" s="190"/>
      <c r="E123" s="190"/>
      <c r="F123" s="190"/>
    </row>
    <row r="124" spans="1:6" ht="18" customHeight="1">
      <c r="A124" s="65" t="s">
        <v>306</v>
      </c>
      <c r="B124" s="40" t="s">
        <v>307</v>
      </c>
      <c r="C124" s="40">
        <v>4</v>
      </c>
      <c r="D124" s="39" t="s">
        <v>426</v>
      </c>
      <c r="E124" s="39"/>
      <c r="F124" s="39"/>
    </row>
    <row r="125" spans="1:6" ht="18" customHeight="1">
      <c r="A125" s="34" t="s">
        <v>309</v>
      </c>
      <c r="B125" s="63" t="s">
        <v>310</v>
      </c>
      <c r="C125" s="63">
        <v>4</v>
      </c>
      <c r="D125" s="41" t="s">
        <v>426</v>
      </c>
      <c r="E125" s="41"/>
      <c r="F125" s="41"/>
    </row>
    <row r="126" spans="1:6" ht="18" customHeight="1">
      <c r="A126" s="189" t="s">
        <v>311</v>
      </c>
      <c r="B126" s="185" t="s">
        <v>312</v>
      </c>
      <c r="C126" s="185"/>
      <c r="D126" s="185"/>
      <c r="E126" s="185"/>
      <c r="F126" s="185"/>
    </row>
    <row r="127" spans="1:6" ht="18" customHeight="1">
      <c r="A127" s="34" t="s">
        <v>313</v>
      </c>
      <c r="B127" s="63" t="s">
        <v>314</v>
      </c>
      <c r="C127" s="63">
        <v>1</v>
      </c>
      <c r="D127" s="41" t="s">
        <v>425</v>
      </c>
      <c r="E127" s="41"/>
      <c r="F127" s="41"/>
    </row>
    <row r="128" spans="1:6" ht="18" customHeight="1">
      <c r="A128" s="65" t="s">
        <v>315</v>
      </c>
      <c r="B128" s="63" t="s">
        <v>316</v>
      </c>
      <c r="C128" s="40">
        <v>1</v>
      </c>
      <c r="D128" s="39" t="s">
        <v>425</v>
      </c>
      <c r="E128" s="39"/>
      <c r="F128" s="39"/>
    </row>
    <row r="129" spans="1:6" ht="18" customHeight="1">
      <c r="A129" s="34" t="s">
        <v>318</v>
      </c>
      <c r="B129" s="63" t="s">
        <v>319</v>
      </c>
      <c r="C129" s="63">
        <v>4</v>
      </c>
      <c r="D129" s="41" t="s">
        <v>426</v>
      </c>
      <c r="E129" s="41"/>
      <c r="F129" s="41"/>
    </row>
    <row r="130" spans="1:6" ht="18" customHeight="1">
      <c r="A130" s="65" t="s">
        <v>320</v>
      </c>
      <c r="B130" s="40" t="s">
        <v>321</v>
      </c>
      <c r="C130" s="40">
        <v>20</v>
      </c>
      <c r="D130" s="39" t="s">
        <v>477</v>
      </c>
      <c r="E130" s="39"/>
      <c r="F130" s="39"/>
    </row>
    <row r="131" spans="1:6" ht="18" customHeight="1">
      <c r="A131" s="34" t="s">
        <v>324</v>
      </c>
      <c r="B131" s="63" t="s">
        <v>325</v>
      </c>
      <c r="C131" s="63">
        <v>4</v>
      </c>
      <c r="D131" s="41" t="s">
        <v>478</v>
      </c>
      <c r="E131" s="41"/>
      <c r="F131" s="41"/>
    </row>
    <row r="132" spans="1:6" ht="18" customHeight="1">
      <c r="A132" s="65" t="s">
        <v>326</v>
      </c>
      <c r="B132" s="40" t="s">
        <v>327</v>
      </c>
      <c r="C132" s="40">
        <v>4</v>
      </c>
      <c r="D132" s="39" t="s">
        <v>426</v>
      </c>
      <c r="E132" s="39"/>
      <c r="F132" s="39"/>
    </row>
    <row r="133" spans="1:6" ht="18" customHeight="1">
      <c r="A133" s="34" t="s">
        <v>328</v>
      </c>
      <c r="B133" s="77" t="s">
        <v>329</v>
      </c>
      <c r="C133" s="63">
        <v>4</v>
      </c>
      <c r="D133" s="41" t="s">
        <v>479</v>
      </c>
      <c r="E133" s="41"/>
      <c r="F133" s="41"/>
    </row>
    <row r="134" spans="1:6" ht="18" customHeight="1">
      <c r="A134" s="189" t="s">
        <v>332</v>
      </c>
      <c r="B134" s="185" t="s">
        <v>153</v>
      </c>
      <c r="C134" s="185"/>
      <c r="D134" s="185"/>
      <c r="E134" s="185"/>
      <c r="F134" s="185"/>
    </row>
    <row r="135" spans="1:6" ht="18" customHeight="1">
      <c r="A135" s="34" t="s">
        <v>333</v>
      </c>
      <c r="B135" s="63" t="s">
        <v>334</v>
      </c>
      <c r="C135" s="63">
        <v>13.16</v>
      </c>
      <c r="D135" s="41" t="s">
        <v>480</v>
      </c>
      <c r="E135" s="41"/>
      <c r="F135" s="41"/>
    </row>
    <row r="136" spans="1:6" ht="18" customHeight="1">
      <c r="A136" s="189" t="s">
        <v>336</v>
      </c>
      <c r="B136" s="185" t="s">
        <v>173</v>
      </c>
      <c r="C136" s="185"/>
      <c r="D136" s="185"/>
      <c r="E136" s="185"/>
      <c r="F136" s="185"/>
    </row>
    <row r="137" spans="1:6" ht="18" customHeight="1">
      <c r="A137" s="34" t="s">
        <v>337</v>
      </c>
      <c r="B137" s="63" t="s">
        <v>338</v>
      </c>
      <c r="C137" s="63">
        <v>6.72</v>
      </c>
      <c r="D137" s="41" t="s">
        <v>481</v>
      </c>
      <c r="E137" s="41"/>
      <c r="F137" s="41"/>
    </row>
    <row r="138" spans="1:6" ht="18" customHeight="1">
      <c r="A138" s="65" t="s">
        <v>339</v>
      </c>
      <c r="B138" s="40" t="s">
        <v>340</v>
      </c>
      <c r="C138" s="40">
        <v>2.8</v>
      </c>
      <c r="D138" s="39" t="s">
        <v>482</v>
      </c>
      <c r="E138" s="39"/>
      <c r="F138" s="39"/>
    </row>
    <row r="139" spans="1:6" ht="18" customHeight="1">
      <c r="A139" s="42" t="s">
        <v>342</v>
      </c>
      <c r="B139" s="190" t="s">
        <v>187</v>
      </c>
      <c r="C139" s="190"/>
      <c r="D139" s="190"/>
      <c r="E139" s="190"/>
      <c r="F139" s="190"/>
    </row>
    <row r="140" spans="1:6" ht="18" customHeight="1">
      <c r="A140" s="65" t="s">
        <v>343</v>
      </c>
      <c r="B140" s="40" t="s">
        <v>344</v>
      </c>
      <c r="C140" s="40">
        <v>88.86</v>
      </c>
      <c r="D140" s="39" t="s">
        <v>483</v>
      </c>
      <c r="E140" s="39"/>
      <c r="F140" s="39"/>
    </row>
    <row r="141" spans="1:6" ht="18" customHeight="1">
      <c r="A141" s="34" t="s">
        <v>345</v>
      </c>
      <c r="B141" s="63" t="s">
        <v>346</v>
      </c>
      <c r="C141" s="63">
        <v>57.66</v>
      </c>
      <c r="D141" s="41" t="s">
        <v>484</v>
      </c>
      <c r="E141" s="41"/>
      <c r="F141" s="41"/>
    </row>
    <row r="142" spans="1:6" ht="18" customHeight="1">
      <c r="A142" s="65" t="s">
        <v>347</v>
      </c>
      <c r="B142" s="40" t="s">
        <v>348</v>
      </c>
      <c r="C142" s="40">
        <v>31.2</v>
      </c>
      <c r="D142" s="39" t="s">
        <v>485</v>
      </c>
      <c r="E142" s="39"/>
      <c r="F142" s="39"/>
    </row>
    <row r="143" spans="1:6" ht="18" customHeight="1">
      <c r="A143" s="34" t="s">
        <v>349</v>
      </c>
      <c r="B143" s="63" t="s">
        <v>350</v>
      </c>
      <c r="C143" s="63">
        <v>31.2</v>
      </c>
      <c r="D143" s="39" t="s">
        <v>485</v>
      </c>
      <c r="E143" s="39"/>
      <c r="F143" s="39"/>
    </row>
    <row r="144" spans="1:6" ht="18" customHeight="1">
      <c r="A144" s="189" t="s">
        <v>351</v>
      </c>
      <c r="B144" s="185" t="s">
        <v>195</v>
      </c>
      <c r="C144" s="185"/>
      <c r="D144" s="185"/>
      <c r="E144" s="185"/>
      <c r="F144" s="185"/>
    </row>
    <row r="145" spans="1:6" ht="18" customHeight="1">
      <c r="A145" s="34" t="s">
        <v>352</v>
      </c>
      <c r="B145" s="63" t="s">
        <v>353</v>
      </c>
      <c r="C145" s="63">
        <v>57.66</v>
      </c>
      <c r="D145" s="41" t="s">
        <v>484</v>
      </c>
      <c r="E145" s="41"/>
      <c r="F145" s="41"/>
    </row>
    <row r="146" spans="1:6" ht="18" customHeight="1">
      <c r="A146" s="65" t="s">
        <v>355</v>
      </c>
      <c r="B146" s="40" t="s">
        <v>356</v>
      </c>
      <c r="C146" s="40">
        <v>19.04</v>
      </c>
      <c r="D146" s="39"/>
      <c r="E146" s="39"/>
      <c r="F146" s="39"/>
    </row>
    <row r="147" spans="1:6" ht="18" customHeight="1">
      <c r="A147" s="42" t="s">
        <v>357</v>
      </c>
      <c r="B147" s="190" t="s">
        <v>221</v>
      </c>
      <c r="C147" s="190"/>
      <c r="D147" s="190"/>
      <c r="E147" s="190"/>
      <c r="F147" s="190"/>
    </row>
    <row r="148" spans="1:6" ht="18" customHeight="1">
      <c r="A148" s="65" t="s">
        <v>358</v>
      </c>
      <c r="B148" s="40" t="s">
        <v>359</v>
      </c>
      <c r="C148" s="40">
        <v>8.94</v>
      </c>
      <c r="D148" s="191" t="s">
        <v>486</v>
      </c>
      <c r="E148" s="191"/>
      <c r="F148" s="191"/>
    </row>
    <row r="149" spans="1:6" ht="18" customHeight="1">
      <c r="A149" s="34" t="s">
        <v>360</v>
      </c>
      <c r="B149" s="63" t="s">
        <v>361</v>
      </c>
      <c r="C149" s="73">
        <v>3.6</v>
      </c>
      <c r="D149" s="41" t="s">
        <v>487</v>
      </c>
      <c r="E149" s="41"/>
      <c r="F149" s="41"/>
    </row>
    <row r="150" spans="1:6" ht="18" customHeight="1">
      <c r="A150" s="65" t="s">
        <v>362</v>
      </c>
      <c r="B150" s="40" t="s">
        <v>363</v>
      </c>
      <c r="C150" s="40">
        <v>11.66</v>
      </c>
      <c r="D150" s="39" t="s">
        <v>488</v>
      </c>
      <c r="E150" s="39"/>
      <c r="F150" s="39"/>
    </row>
    <row r="151" spans="1:6" ht="18" customHeight="1">
      <c r="A151" s="34" t="s">
        <v>365</v>
      </c>
      <c r="B151" s="63" t="s">
        <v>366</v>
      </c>
      <c r="C151" s="63">
        <v>15.58</v>
      </c>
      <c r="D151" s="41" t="s">
        <v>489</v>
      </c>
      <c r="E151" s="41"/>
      <c r="F151" s="41"/>
    </row>
  </sheetData>
  <sheetProtection selectLockedCells="1" selectUnlockedCells="1"/>
  <mergeCells count="154">
    <mergeCell ref="A1:B5"/>
    <mergeCell ref="C1:G2"/>
    <mergeCell ref="C3:G4"/>
    <mergeCell ref="C5:G5"/>
    <mergeCell ref="A6:C6"/>
    <mergeCell ref="D6:G6"/>
    <mergeCell ref="A7:C7"/>
    <mergeCell ref="D7:F7"/>
    <mergeCell ref="A8:G8"/>
    <mergeCell ref="A9:A10"/>
    <mergeCell ref="B9:B10"/>
    <mergeCell ref="C9:F10"/>
    <mergeCell ref="G9:G10"/>
    <mergeCell ref="B11:F11"/>
    <mergeCell ref="D12:F12"/>
    <mergeCell ref="D13:F13"/>
    <mergeCell ref="B14:F14"/>
    <mergeCell ref="D15:F15"/>
    <mergeCell ref="D16:F16"/>
    <mergeCell ref="B17:F17"/>
    <mergeCell ref="D18:F18"/>
    <mergeCell ref="D19:F19"/>
    <mergeCell ref="D20:F20"/>
    <mergeCell ref="B21:F21"/>
    <mergeCell ref="D22:F22"/>
    <mergeCell ref="B23:F23"/>
    <mergeCell ref="D24:F24"/>
    <mergeCell ref="D25:F25"/>
    <mergeCell ref="D26:F26"/>
    <mergeCell ref="B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B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B60:F60"/>
    <mergeCell ref="D61:F61"/>
    <mergeCell ref="D62:F62"/>
    <mergeCell ref="D63:F63"/>
    <mergeCell ref="D64:F64"/>
    <mergeCell ref="D65:F65"/>
    <mergeCell ref="D66:F66"/>
    <mergeCell ref="B67:F67"/>
    <mergeCell ref="D68:F68"/>
    <mergeCell ref="D69:F69"/>
    <mergeCell ref="D70:F70"/>
    <mergeCell ref="D71:F71"/>
    <mergeCell ref="D72:F72"/>
    <mergeCell ref="B73:F73"/>
    <mergeCell ref="D74:F74"/>
    <mergeCell ref="D75:F75"/>
    <mergeCell ref="D76:F76"/>
    <mergeCell ref="B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B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A102:F102"/>
    <mergeCell ref="C103:F103"/>
    <mergeCell ref="D104:F104"/>
    <mergeCell ref="D105:F105"/>
    <mergeCell ref="B106:F106"/>
    <mergeCell ref="D107:F107"/>
    <mergeCell ref="D108:F108"/>
    <mergeCell ref="D109:F109"/>
    <mergeCell ref="D110:F110"/>
    <mergeCell ref="B111:F111"/>
    <mergeCell ref="D112:F112"/>
    <mergeCell ref="D113:F113"/>
    <mergeCell ref="D114:F114"/>
    <mergeCell ref="D115:F115"/>
    <mergeCell ref="B116:F116"/>
    <mergeCell ref="D117:F117"/>
    <mergeCell ref="B118:F118"/>
    <mergeCell ref="D119:F119"/>
    <mergeCell ref="D120:F120"/>
    <mergeCell ref="D121:F121"/>
    <mergeCell ref="D122:F122"/>
    <mergeCell ref="B123:F123"/>
    <mergeCell ref="D124:F124"/>
    <mergeCell ref="D125:F125"/>
    <mergeCell ref="B126:F126"/>
    <mergeCell ref="D127:F127"/>
    <mergeCell ref="D128:F128"/>
    <mergeCell ref="D129:F129"/>
    <mergeCell ref="D130:F130"/>
    <mergeCell ref="D131:F131"/>
    <mergeCell ref="D132:F132"/>
    <mergeCell ref="D133:F133"/>
    <mergeCell ref="B134:F134"/>
    <mergeCell ref="D135:F135"/>
    <mergeCell ref="B136:F136"/>
    <mergeCell ref="D137:F137"/>
    <mergeCell ref="D138:F138"/>
    <mergeCell ref="B139:F139"/>
    <mergeCell ref="D140:F140"/>
    <mergeCell ref="D141:F141"/>
    <mergeCell ref="D142:F142"/>
    <mergeCell ref="D143:F143"/>
    <mergeCell ref="B144:F144"/>
    <mergeCell ref="D145:F145"/>
    <mergeCell ref="D146:F146"/>
    <mergeCell ref="B147:F147"/>
    <mergeCell ref="D148:F148"/>
    <mergeCell ref="D149:F149"/>
    <mergeCell ref="D150:F150"/>
    <mergeCell ref="D151:F1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70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Nepe10</cp:lastModifiedBy>
  <cp:lastPrinted>2015-08-03T12:53:03Z</cp:lastPrinted>
  <dcterms:created xsi:type="dcterms:W3CDTF">2008-07-14T14:43:26Z</dcterms:created>
  <dcterms:modified xsi:type="dcterms:W3CDTF">2016-04-06T12:16:28Z</dcterms:modified>
  <cp:category/>
  <cp:version/>
  <cp:contentType/>
  <cp:contentStatus/>
</cp:coreProperties>
</file>