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520" yWindow="1530" windowWidth="11280" windowHeight="6210" tabRatio="695" activeTab="5"/>
  </bookViews>
  <sheets>
    <sheet name="Orçamento" sheetId="1" r:id="rId1"/>
    <sheet name="Cronograma" sheetId="2" r:id="rId2"/>
    <sheet name="Memorial de Cálculo" sheetId="3" r:id="rId3"/>
    <sheet name="Composições de Custo" sheetId="4" r:id="rId4"/>
    <sheet name="BDI" sheetId="5" r:id="rId5"/>
    <sheet name="LEIS SOCIAIS" sheetId="6" r:id="rId6"/>
  </sheets>
  <externalReferences>
    <externalReference r:id="rId9"/>
  </externalReferences>
  <definedNames>
    <definedName name="_xlnm.Print_Area" localSheetId="4">'BDI'!$B$3:$G$58</definedName>
    <definedName name="_xlnm.Print_Area" localSheetId="3">'Composições de Custo'!$B$2:$J$338</definedName>
    <definedName name="_xlnm.Print_Area" localSheetId="1">'Cronograma'!$B$2:$T$50</definedName>
    <definedName name="_xlnm.Print_Area" localSheetId="5">'LEIS SOCIAIS'!$B$2:$H$54</definedName>
    <definedName name="_xlnm.Print_Area" localSheetId="2">'Memorial de Cálculo'!$B$2:$L$550</definedName>
    <definedName name="_xlnm.Print_Area" localSheetId="0">'Orçamento'!$B$2:$L$277</definedName>
    <definedName name="_xlnm.Print_Titles" localSheetId="3">'Composições de Custo'!$2:$14</definedName>
    <definedName name="_xlnm.Print_Titles" localSheetId="2">'Memorial de Cálculo'!$14:$14</definedName>
    <definedName name="_xlnm.Print_Titles" localSheetId="0">'Orçamento'!$14:$15</definedName>
  </definedNames>
  <calcPr fullCalcOnLoad="1"/>
</workbook>
</file>

<file path=xl/sharedStrings.xml><?xml version="1.0" encoding="utf-8"?>
<sst xmlns="http://schemas.openxmlformats.org/spreadsheetml/2006/main" count="2348" uniqueCount="1069">
  <si>
    <t>m2</t>
  </si>
  <si>
    <t>unid.</t>
  </si>
  <si>
    <t>Item</t>
  </si>
  <si>
    <t>Discriminação</t>
  </si>
  <si>
    <t>Unidade</t>
  </si>
  <si>
    <t>Quantidade</t>
  </si>
  <si>
    <t>1.00</t>
  </si>
  <si>
    <t>SERVIÇOS PRELIMINARES</t>
  </si>
  <si>
    <t>3.00</t>
  </si>
  <si>
    <t>5.00</t>
  </si>
  <si>
    <t>PAVIMENTAÇÃO</t>
  </si>
  <si>
    <t>PINTURA</t>
  </si>
  <si>
    <t>DIVERSOS</t>
  </si>
  <si>
    <t>Custo Unitário</t>
  </si>
  <si>
    <t>TOTAL</t>
  </si>
  <si>
    <t>ITEM</t>
  </si>
  <si>
    <t>DISCRIMINAÇÃO</t>
  </si>
  <si>
    <t>m3</t>
  </si>
  <si>
    <t>INFRA-ESTRUTURA</t>
  </si>
  <si>
    <t>COBERTURA</t>
  </si>
  <si>
    <t>SUPERESTRUTURA</t>
  </si>
  <si>
    <t>9.00</t>
  </si>
  <si>
    <t>% DO ITEM</t>
  </si>
  <si>
    <t>VALOR DO ITEM</t>
  </si>
  <si>
    <t>30 DIAS</t>
  </si>
  <si>
    <t>60 DIAS</t>
  </si>
  <si>
    <t>%</t>
  </si>
  <si>
    <t>VALOR</t>
  </si>
  <si>
    <t>TOTAL DO PERÍODO (R$)</t>
  </si>
  <si>
    <t>TOTAL DO PERÍODO (%)</t>
  </si>
  <si>
    <t>PLANILHA  ORÇAMENTÁRIA</t>
  </si>
  <si>
    <t>Placa da obra - 300 x 150</t>
  </si>
  <si>
    <t>90 DIAS</t>
  </si>
  <si>
    <t>m</t>
  </si>
  <si>
    <t>COORDENAÇÃO DE INFRA-ESTRUTURA EM SAÚDE</t>
  </si>
  <si>
    <t>% Serviço</t>
  </si>
  <si>
    <t>Limpeza da obra</t>
  </si>
  <si>
    <t>INSTALAÇÃO ELÉTRICA</t>
  </si>
  <si>
    <t>m²</t>
  </si>
  <si>
    <t>Referência</t>
  </si>
  <si>
    <t>Código</t>
  </si>
  <si>
    <t>SINAPI</t>
  </si>
  <si>
    <t>74209/001</t>
  </si>
  <si>
    <t>Preço Total</t>
  </si>
  <si>
    <t>Preço Total do Item</t>
  </si>
  <si>
    <t>SEINFRA</t>
  </si>
  <si>
    <t>GABINETE DO SECRETÁRIO</t>
  </si>
  <si>
    <t>NÚCLEO DE INFRA-ESTRUTURA EM SAÚDE - NIS</t>
  </si>
  <si>
    <t>UNID</t>
  </si>
  <si>
    <t>ORSE</t>
  </si>
  <si>
    <t>CRONOGRAMA FÍSICO-FINANCEIRO</t>
  </si>
  <si>
    <t>MEMORIAL DE CÁLCULO</t>
  </si>
  <si>
    <t>APLICAÇÃO</t>
  </si>
  <si>
    <t>LARGURA</t>
  </si>
  <si>
    <t>ALTURA</t>
  </si>
  <si>
    <t>AREA</t>
  </si>
  <si>
    <t>VOLUME</t>
  </si>
  <si>
    <t>5. PIS</t>
  </si>
  <si>
    <t>4. ISSQN</t>
  </si>
  <si>
    <t>Percentuais (%)</t>
  </si>
  <si>
    <t>Utilidades</t>
  </si>
  <si>
    <t>Interno</t>
  </si>
  <si>
    <t>Externo</t>
  </si>
  <si>
    <t>73775/002</t>
  </si>
  <si>
    <t>2.00</t>
  </si>
  <si>
    <t>9.1</t>
  </si>
  <si>
    <t>COMPOSIÇÃO DO BDI</t>
  </si>
  <si>
    <t>DESCRIÇÃO</t>
  </si>
  <si>
    <t>1. LUCRO</t>
  </si>
  <si>
    <t>2. ADMINISTRAÇÃO CENTRAL</t>
  </si>
  <si>
    <t>3. DESPESAS FINANCEIRAS</t>
  </si>
  <si>
    <t>6. CPRB (2% SOBRE FATURAMENTO)</t>
  </si>
  <si>
    <t>7. COFINS</t>
  </si>
  <si>
    <t>8. GARANTIAS, SEGUROS E RISCOS</t>
  </si>
  <si>
    <t>X(%)=</t>
  </si>
  <si>
    <t>Y(%)=</t>
  </si>
  <si>
    <t>Z(%)=</t>
  </si>
  <si>
    <t>l(%)=</t>
  </si>
  <si>
    <t>Aplicando na fórmula acima, temos:</t>
  </si>
  <si>
    <t>BDI(%)=</t>
  </si>
  <si>
    <t>Preço Unitário Com BDI (%)</t>
  </si>
  <si>
    <t xml:space="preserve">TOTAL CONSTRUÇÃO </t>
  </si>
  <si>
    <t>DML</t>
  </si>
  <si>
    <t>13.00</t>
  </si>
  <si>
    <t xml:space="preserve"> SINAPI </t>
  </si>
  <si>
    <t>Cintas</t>
  </si>
  <si>
    <t>73775/001</t>
  </si>
  <si>
    <t>120 DIAS</t>
  </si>
  <si>
    <r>
      <rPr>
        <b/>
        <sz val="10"/>
        <rFont val="Arial"/>
        <family val="2"/>
      </rPr>
      <t>Endereço:</t>
    </r>
    <r>
      <rPr>
        <sz val="10"/>
        <rFont val="Arial"/>
        <family val="2"/>
      </rPr>
      <t xml:space="preserve"> Zona Rural</t>
    </r>
  </si>
  <si>
    <t>WC</t>
  </si>
  <si>
    <t>Exames</t>
  </si>
  <si>
    <t>Cozinha</t>
  </si>
  <si>
    <t>Plantão</t>
  </si>
  <si>
    <t>Estrutura metálica em tesouras ou treliças, vão livre de 12m, fornecimento e montagem</t>
  </si>
  <si>
    <t>09918</t>
  </si>
  <si>
    <t>Rufo em concreto armado, largura 40cm, espessura 3cm</t>
  </si>
  <si>
    <t>74098/001</t>
  </si>
  <si>
    <t>Chapim de concreto pré-moladado</t>
  </si>
  <si>
    <t>C0773</t>
  </si>
  <si>
    <t>Cobertura</t>
  </si>
  <si>
    <t>Paredes Externas de fechamento</t>
  </si>
  <si>
    <t>INSTALAÇÕES  HIDRO-SANITÁRIAS E ÁGUA PLUVIAL</t>
  </si>
  <si>
    <r>
      <rPr>
        <b/>
        <sz val="12"/>
        <rFont val="Arial"/>
        <family val="2"/>
      </rPr>
      <t>Endereço:</t>
    </r>
    <r>
      <rPr>
        <sz val="12"/>
        <rFont val="Arial"/>
        <family val="2"/>
      </rPr>
      <t xml:space="preserve"> Zona Urbana</t>
    </r>
  </si>
  <si>
    <r>
      <rPr>
        <b/>
        <sz val="12"/>
        <rFont val="Arial"/>
        <family val="2"/>
      </rPr>
      <t>Obra:</t>
    </r>
    <r>
      <rPr>
        <sz val="12"/>
        <rFont val="Arial"/>
        <family val="2"/>
      </rPr>
      <t xml:space="preserve"> Construção do Centro de Parto Normal (CPN)</t>
    </r>
  </si>
  <si>
    <r>
      <rPr>
        <b/>
        <sz val="11"/>
        <rFont val="Arial"/>
        <family val="2"/>
      </rPr>
      <t>Obra:</t>
    </r>
    <r>
      <rPr>
        <sz val="11"/>
        <rFont val="Arial"/>
        <family val="2"/>
      </rPr>
      <t xml:space="preserve"> Construção do Centro de Parto Normal (CPN)</t>
    </r>
  </si>
  <si>
    <r>
      <rPr>
        <b/>
        <sz val="11"/>
        <rFont val="Arial"/>
        <family val="2"/>
      </rPr>
      <t>Endereço:</t>
    </r>
    <r>
      <rPr>
        <sz val="11"/>
        <rFont val="Arial"/>
        <family val="2"/>
      </rPr>
      <t xml:space="preserve"> Zona Urbana</t>
    </r>
  </si>
  <si>
    <r>
      <rPr>
        <b/>
        <sz val="14"/>
        <rFont val="Arial"/>
        <family val="2"/>
      </rPr>
      <t>Obra</t>
    </r>
    <r>
      <rPr>
        <sz val="14"/>
        <rFont val="Arial"/>
        <family val="2"/>
      </rPr>
      <t>:  Construção do Centro de Parto Normal (CPN)</t>
    </r>
  </si>
  <si>
    <r>
      <t>Endereço:</t>
    </r>
    <r>
      <rPr>
        <sz val="14"/>
        <rFont val="Arial"/>
        <family val="2"/>
      </rPr>
      <t xml:space="preserve">  Zona Urbana</t>
    </r>
  </si>
  <si>
    <r>
      <rPr>
        <b/>
        <sz val="10"/>
        <rFont val="Arial"/>
        <family val="2"/>
      </rPr>
      <t>Obra:</t>
    </r>
    <r>
      <rPr>
        <sz val="10"/>
        <rFont val="Arial"/>
        <family val="2"/>
      </rPr>
      <t xml:space="preserve"> Construção do Centro de Parto Normal (CPN)</t>
    </r>
  </si>
  <si>
    <t>9.2</t>
  </si>
  <si>
    <t>COMPISIÇÕES DE CUSTO</t>
  </si>
  <si>
    <t>ENCARGOS SOCIAIS COM DESONERAÇÃO:</t>
  </si>
  <si>
    <t>Preço Adotado =</t>
  </si>
  <si>
    <t>Descrição</t>
  </si>
  <si>
    <t>Coeficiente</t>
  </si>
  <si>
    <t>Preço</t>
  </si>
  <si>
    <t>Total</t>
  </si>
  <si>
    <t>MAO DE OBRA</t>
  </si>
  <si>
    <t>TOTAL MAO DE OBRA</t>
  </si>
  <si>
    <t>MATERIAIS</t>
  </si>
  <si>
    <t>KG</t>
  </si>
  <si>
    <t>TOTAL MATERIAIS</t>
  </si>
  <si>
    <t>Total Simples</t>
  </si>
  <si>
    <t>Encargos</t>
  </si>
  <si>
    <t>TOTAL GERAL</t>
  </si>
  <si>
    <t>H</t>
  </si>
  <si>
    <t>UN</t>
  </si>
  <si>
    <t>88316/SINAPI</t>
  </si>
  <si>
    <t>SERVENTE COM ENCARGOS COMPLEMENTARES</t>
  </si>
  <si>
    <t>COMP.</t>
  </si>
  <si>
    <r>
      <rPr>
        <b/>
        <sz val="11"/>
        <rFont val="Arial"/>
        <family val="2"/>
      </rPr>
      <t xml:space="preserve">Obra: </t>
    </r>
    <r>
      <rPr>
        <sz val="11"/>
        <rFont val="Arial"/>
        <family val="2"/>
      </rPr>
      <t>Construção do Centro de Parto Normal (CPN)</t>
    </r>
  </si>
  <si>
    <t>Telhamento com telha de alumínio dupla, trapezoidal, tipo sanduíche 0,6mm pré pintada em duas faces, com isolamento de espuma rígida de poliuretano 30mm pintada (termoacústica)</t>
  </si>
  <si>
    <t>COMPRI/PERÍMETRO</t>
  </si>
  <si>
    <t>QUANTIDADE</t>
  </si>
  <si>
    <t>Unid: M²</t>
  </si>
  <si>
    <t>INSTALAÇÕES DE GASES MEDICINAIS</t>
  </si>
  <si>
    <t>10.1</t>
  </si>
  <si>
    <t>10.2</t>
  </si>
  <si>
    <t>14.00</t>
  </si>
  <si>
    <t>15.00</t>
  </si>
  <si>
    <t>kg</t>
  </si>
  <si>
    <t>180 DIAS</t>
  </si>
  <si>
    <t>ENCARGOS SOCIAIS SOBRE A MÃO DE OBRA - COM DESONERAÇÃO</t>
  </si>
  <si>
    <t>CÓDIGO</t>
  </si>
  <si>
    <t>HORISTA %</t>
  </si>
  <si>
    <t>MENSALISTA %</t>
  </si>
  <si>
    <t>GRUPO A</t>
  </si>
  <si>
    <t>A1</t>
  </si>
  <si>
    <t>INSS</t>
  </si>
  <si>
    <t>A2</t>
  </si>
  <si>
    <t xml:space="preserve"> SESI</t>
  </si>
  <si>
    <t>A3</t>
  </si>
  <si>
    <t>SENAI</t>
  </si>
  <si>
    <t>A4</t>
  </si>
  <si>
    <t>INCRA</t>
  </si>
  <si>
    <t>A5</t>
  </si>
  <si>
    <t>SEBRAE</t>
  </si>
  <si>
    <t>A6</t>
  </si>
  <si>
    <t>Salário-Educação</t>
  </si>
  <si>
    <t>A7</t>
  </si>
  <si>
    <t>Seguro Contra Acidentes de Trabalho</t>
  </si>
  <si>
    <t>A8</t>
  </si>
  <si>
    <t>FGTS</t>
  </si>
  <si>
    <t>A9</t>
  </si>
  <si>
    <t>SECONCI</t>
  </si>
  <si>
    <t>A</t>
  </si>
  <si>
    <t>Total dos Encargos Sociais</t>
  </si>
  <si>
    <t>GRUPO B</t>
  </si>
  <si>
    <t>B1</t>
  </si>
  <si>
    <t>Repouso Semanal Remunerado</t>
  </si>
  <si>
    <t>B2</t>
  </si>
  <si>
    <t>Feriados</t>
  </si>
  <si>
    <t>B3</t>
  </si>
  <si>
    <t>Auxilio - enfermidade</t>
  </si>
  <si>
    <t>B4</t>
  </si>
  <si>
    <t xml:space="preserve"> 13º salário</t>
  </si>
  <si>
    <t>B5</t>
  </si>
  <si>
    <t>Licença Paternidade</t>
  </si>
  <si>
    <t>B6</t>
  </si>
  <si>
    <t>Faltas justificadas</t>
  </si>
  <si>
    <t>B7</t>
  </si>
  <si>
    <t>Dias de chuva</t>
  </si>
  <si>
    <t>B8</t>
  </si>
  <si>
    <t>Auxilio acidete de trabalho</t>
  </si>
  <si>
    <t>B9</t>
  </si>
  <si>
    <t>Férias Gozadas</t>
  </si>
  <si>
    <t>B10</t>
  </si>
  <si>
    <t>Salário Maternidade</t>
  </si>
  <si>
    <t>B</t>
  </si>
  <si>
    <t>Total dos Encargos Sociais que recebem incidências de A</t>
  </si>
  <si>
    <t>GRUPO C</t>
  </si>
  <si>
    <t>C1</t>
  </si>
  <si>
    <t>Aviso Prévio Indenizado</t>
  </si>
  <si>
    <t>C2</t>
  </si>
  <si>
    <t>Aviso Prévio Trabalhado</t>
  </si>
  <si>
    <t>C3</t>
  </si>
  <si>
    <t>Férias Idenizadas</t>
  </si>
  <si>
    <t>C4</t>
  </si>
  <si>
    <t>Depósito rescisão sem Justa Causa</t>
  </si>
  <si>
    <t>C5</t>
  </si>
  <si>
    <t>Idenização Adicional</t>
  </si>
  <si>
    <t>C</t>
  </si>
  <si>
    <t>Total dos Encargos Sociais que não recebem incidências globais de A</t>
  </si>
  <si>
    <t>GRUPO D</t>
  </si>
  <si>
    <t>D1</t>
  </si>
  <si>
    <t>Reincidência de Grupo A sobre Grupo B</t>
  </si>
  <si>
    <t>D2</t>
  </si>
  <si>
    <t>Reincidência de Grupo A sobre Aviso Prévio Trabalhado e Reincidência doFGTSsobre Aviso Prévio Indenizado</t>
  </si>
  <si>
    <t>D</t>
  </si>
  <si>
    <t>Total das Taxas incidências e reincidências</t>
  </si>
  <si>
    <t>TOTAL (A+B+C+D)</t>
  </si>
  <si>
    <t>SECRETARIA DE ESTADO DA SAÚDE</t>
  </si>
  <si>
    <t>GOVERNO DO ESTADO DO PIAUÍ</t>
  </si>
  <si>
    <t>88256/SINAPI</t>
  </si>
  <si>
    <t>LADRILHISTA COMPLEMENTARES</t>
  </si>
  <si>
    <t>MATERIAIS/SERVIÇOS</t>
  </si>
  <si>
    <t>I00536/SINAPI</t>
  </si>
  <si>
    <t>I37329/SINAPI</t>
  </si>
  <si>
    <t>REJUNTE EPOXI BRANCO</t>
  </si>
  <si>
    <t>ARGAMASSA INDUSTRIALIZADA AC-III</t>
  </si>
  <si>
    <t>Unid: KG</t>
  </si>
  <si>
    <t>I00371/SINAPI</t>
  </si>
  <si>
    <t>ARGAMASSA INDUSTRIALIZADA</t>
  </si>
  <si>
    <t xml:space="preserve">REVESTIMENTO EM CERAMICA </t>
  </si>
  <si>
    <t>CERÂMICA  RETIFICADA APLICADA COM ARGAMASSA INDUSTRIALIZADA, REJUNTADA COM ARGAMASSA A BASE DE EPÓXI, JUNTA MÁXIMA 2MM</t>
  </si>
  <si>
    <t>74210/001</t>
  </si>
  <si>
    <t>73960/001</t>
  </si>
  <si>
    <t>CPOS</t>
  </si>
  <si>
    <t>Escavacao manual de vala em  material de 1a categoria ate 1,5m excluindoesgotamento / escoramento</t>
  </si>
  <si>
    <t>Instal/ligacao provisoria eletrica baixa tensao p/cant obra ,m3-chave 100acarga 3kwh,20cv excl forn medidor</t>
  </si>
  <si>
    <t>Barracao para deposito em tabuas de madeira, cobertura em fibrocimento 4mm, incluso piso argamassa traço 1:6 (cimento e areia)</t>
  </si>
  <si>
    <t>Entrada completa de água com abrigo e registro de gaveta, dn= 3/4´</t>
  </si>
  <si>
    <t>Reaterro de valas / cavas, compactada a maço, em camadas de até 30 cm.</t>
  </si>
  <si>
    <t>Regularizacao e compactacao manual de terreno com soquete</t>
  </si>
  <si>
    <t>Carga manual de material a granel (2 serventes) em caminhao basculante  c/cacamba de 4,0m3 incluindo descarga mecânica</t>
  </si>
  <si>
    <t>73965/010</t>
  </si>
  <si>
    <t>73964/004</t>
  </si>
  <si>
    <t>74255/003</t>
  </si>
  <si>
    <t>3,00</t>
  </si>
  <si>
    <t>8,00</t>
  </si>
  <si>
    <t>1,00</t>
  </si>
  <si>
    <t>373,89</t>
  </si>
  <si>
    <t>86,64</t>
  </si>
  <si>
    <t>106,50</t>
  </si>
  <si>
    <t>80,41</t>
  </si>
  <si>
    <t>112,37</t>
  </si>
  <si>
    <t>Lastro de brita</t>
  </si>
  <si>
    <t>Forma tabua para concreto em fundacao c/ reaproveitamento 5x</t>
  </si>
  <si>
    <t>Armacao aco ca-50 p/ estruturas de concreto</t>
  </si>
  <si>
    <t>Impermeabilizacao de superficie com armagassa de cimento e areia (grossa),traco 1:3, com aditivo impermeabilizante, e=2,5cm.</t>
  </si>
  <si>
    <t>Impermeabilizacao de estruturas enterradas, com tinta asfaltica, duas demaos</t>
  </si>
  <si>
    <t>74164/004</t>
  </si>
  <si>
    <t>74138/002</t>
  </si>
  <si>
    <t>74000/001</t>
  </si>
  <si>
    <t>74106/001</t>
  </si>
  <si>
    <t>5,66</t>
  </si>
  <si>
    <t>416,44</t>
  </si>
  <si>
    <t>2.020,11</t>
  </si>
  <si>
    <t>31,00</t>
  </si>
  <si>
    <t>9,96</t>
  </si>
  <si>
    <t>174,22</t>
  </si>
  <si>
    <t>Forma para estruturas de concreto (pilar, viga e laje) em chapa de madeira compensada plastificada, de 1,10 x 2,20, espessura = 12 mm, 02 utilizacoes. (fabricacao, montagem e desmontagem - exclusive escoramento)</t>
  </si>
  <si>
    <t>84217</t>
  </si>
  <si>
    <t>74141/002</t>
  </si>
  <si>
    <t>118,85</t>
  </si>
  <si>
    <t>2.650,00</t>
  </si>
  <si>
    <t>12,05</t>
  </si>
  <si>
    <t>280,20</t>
  </si>
  <si>
    <t>PAREDES E PAINÉIS</t>
  </si>
  <si>
    <t>5,36</t>
  </si>
  <si>
    <t>52,62</t>
  </si>
  <si>
    <t>10,80</t>
  </si>
  <si>
    <t>37,44</t>
  </si>
  <si>
    <t>0,36</t>
  </si>
  <si>
    <t>8.1</t>
  </si>
  <si>
    <t>Rede de esgoto sanitário</t>
  </si>
  <si>
    <t>8.2</t>
  </si>
  <si>
    <t>74184/001</t>
  </si>
  <si>
    <t>74183/001</t>
  </si>
  <si>
    <t>2,00</t>
  </si>
  <si>
    <t>14,00</t>
  </si>
  <si>
    <t>M</t>
  </si>
  <si>
    <t>54,00</t>
  </si>
  <si>
    <t>65,00</t>
  </si>
  <si>
    <t>90,00</t>
  </si>
  <si>
    <t>17,00</t>
  </si>
  <si>
    <t>150,00</t>
  </si>
  <si>
    <t>6,00</t>
  </si>
  <si>
    <t>24,00</t>
  </si>
  <si>
    <t>48,00</t>
  </si>
  <si>
    <t>12,00</t>
  </si>
  <si>
    <t>42,00</t>
  </si>
  <si>
    <t>126,00</t>
  </si>
  <si>
    <t>18,00</t>
  </si>
  <si>
    <t>24,50</t>
  </si>
  <si>
    <t>2,16</t>
  </si>
  <si>
    <t>Rede de águas pluviais + drenos de ar condicionado</t>
  </si>
  <si>
    <t>8.3</t>
  </si>
  <si>
    <t>Louças e metais</t>
  </si>
  <si>
    <t>8.4</t>
  </si>
  <si>
    <t>Instalações de combate a incêndio</t>
  </si>
  <si>
    <t>Extintor de co2 6kg - fornecimento e instalacao</t>
  </si>
  <si>
    <t>Extintor incendio tp po quimico 4kg fornecimento e colocacao</t>
  </si>
  <si>
    <t>Extintor incendio agua-pressurizada 10l incl suporte parede carga
completa fornecimento e colocacao</t>
  </si>
  <si>
    <t>Dispenser papel higienico em abs para rolão 300/600m, com visor</t>
  </si>
  <si>
    <t>Saboneteira tipo dispenser, para refil de 800 ml</t>
  </si>
  <si>
    <t>Dispenser toalheiro em abs, para folhas</t>
  </si>
  <si>
    <t>Torneira cromada 1/2" ou 3/4" para jardim ou tanque, padrao alto -
fornecimento e instalacao</t>
  </si>
  <si>
    <t>Granito cinza polido para bancada e=2,5 cm, largura 60cm - fornecimento einstalacao</t>
  </si>
  <si>
    <t>Torneira cromada tubo movel de parede 1/2" ou 3/4" para pia de cozinha,padrao medio - fornecimento e instalacao</t>
  </si>
  <si>
    <t>Cuba aco inoxidavel 40,0x34,0x11,5 cm, com sifao em metal cromado 1.1/2x1.1/2",valvula em metal cromado tipo americana 3.1/2"x1.1/2" para pia - fornecimento e instalacao</t>
  </si>
  <si>
    <t>Barra de apoio reta, para pessoas com mobilidade reduzida, em tubo de aço inoxidável de 1 1/2´ x 900 mm</t>
  </si>
  <si>
    <t>Barra de apoio reta, para pessoas com mobilidade reduzida, em tubo de açoinoxidável de 1 1/2´ x 800 mm</t>
  </si>
  <si>
    <t>Chuveiro eletrico comum corpo plastico tipo ducha, fornecimento e
instalacao</t>
  </si>
  <si>
    <t>Banheira de imersão em acrílico 1,54m x 1,54m x 58cm</t>
  </si>
  <si>
    <t>Caixa de ligacao ou inspecao - tampa de concreto armado</t>
  </si>
  <si>
    <t>Caixa sifonada pvc 150x150x50mm com grelha redonda branca - fornecimentoe instalaçao</t>
  </si>
  <si>
    <t>Tubo de pvc "r" 40mm incl conexoes - col esgoto</t>
  </si>
  <si>
    <t>Tubo de pvc "r" 50mm incl conexoes - col esgoto</t>
  </si>
  <si>
    <t>Tubo de pvc "r" 75mm incl conexoes - col esgoto</t>
  </si>
  <si>
    <t>Tubo de pvc "r" 100mm incl conexoes - col esgoto</t>
  </si>
  <si>
    <t>Válvula de retenção vertical ø 100mm (4") - fornecimento e instalação</t>
  </si>
  <si>
    <t>Registro gaveta 1" bruto latao - fornecimento e instalacao</t>
  </si>
  <si>
    <t>Registro pressao 3/4" com canopla acabamento cromado - fornecimento einstalaço</t>
  </si>
  <si>
    <t>Registro gaveta 3/4" bruto latao - fornecimento e instalacao</t>
  </si>
  <si>
    <t>Registro gaveta 1.1/4" bruto latao - fornecimento e instalacao</t>
  </si>
  <si>
    <t>Tubo de pvc rigido junta soldavel dn 25mm (3/4") incl conexoes</t>
  </si>
  <si>
    <t>Tubo de pvc rigido junta soldavel dn 32mm (1") incl conexoes</t>
  </si>
  <si>
    <t>Tubo de pvc rigido junta soldavel dn 40mm (1.1/4") incl conexoes</t>
  </si>
  <si>
    <t>Tubo de pvc "r" para aguas pluviais 50mm - incl. Conexoes</t>
  </si>
  <si>
    <t>Tubo de pvc "r" para aguas pluviais 75mm - incl. Conexoes</t>
  </si>
  <si>
    <t>Tubo de pvc "r" para aguas pluviais 100mm - incl. Conexoes</t>
  </si>
  <si>
    <t>Tubo de pvc "r" para aguas pluviais 150mm - incl conexoes</t>
  </si>
  <si>
    <t>Ca-21 canaleta de aguas pluviais em concreto (20cm)</t>
  </si>
  <si>
    <t>Caixa de ligacao ou inspecao - alvenaria de 1 tijolo revestida</t>
  </si>
  <si>
    <t>Vaso sanitario com caixa de descarga acoplada - louca branca</t>
  </si>
  <si>
    <t>Lavatorio louca branca suspenso 29,5 x 39,0cm, padrao popular, com sifaoplastico tipo copo 1", valvula em plastico branco 1" e conjunto para fixacao- fornecimento e instalacao</t>
  </si>
  <si>
    <t>7,00</t>
  </si>
  <si>
    <t>5,00</t>
  </si>
  <si>
    <t>15,00</t>
  </si>
  <si>
    <t>4,00</t>
  </si>
  <si>
    <t>Caixa metalica octogonal 4x4" fundo movel</t>
  </si>
  <si>
    <t>Caixa de passagem 60x60x70 fundo brita com tampa</t>
  </si>
  <si>
    <t>Supressor de surto monofásico, neutro-terra, in &gt; ou = 20 ka, imax. de surtode 65 até 80 ka</t>
  </si>
  <si>
    <t>Quadro telebrás de embutir de 600 x 600 x 120 mm</t>
  </si>
  <si>
    <t>Caixa de ferro estâmpada 4´ x 2´</t>
  </si>
  <si>
    <t>Caixa de ferro estâmpada 4´ x 4´</t>
  </si>
  <si>
    <t>Cabo de cobre de 1,5 mm², isolamento 750 v - isolação em pvc 70°c</t>
  </si>
  <si>
    <t>Cabo de cobre de 70,0 mm², isolamento 750 v - isolação em pvc 70°c</t>
  </si>
  <si>
    <t>Conector split-bolt para cabo de 50,0 mm², latão, simples</t>
  </si>
  <si>
    <t>Cabo de cobre de 25,0 mm², isolamento 0,6/1 kv - isolação epr 90°C</t>
  </si>
  <si>
    <t>Cabo de cobre de 2,5 mm², isolamento 750 v - isolação em pvc 70°C</t>
  </si>
  <si>
    <t>Cabo de cobre de 4,0 mm², isolamento 750 v - isolação em pvc 70°C</t>
  </si>
  <si>
    <t>Cabo de cobre de 6,0 mm², isolamento 750 v - isolação em pvc 70°C</t>
  </si>
  <si>
    <t>Disjuntor termomagnético, unipolar 127/220 v, corrente de 10 A até 30 A</t>
  </si>
  <si>
    <t>Disjuntor termomagnético, bipolar 220/380 v, corrente de 10 A até 50 A</t>
  </si>
  <si>
    <t>Disjuntor termomagnético, tripolar 220/380 v, corrente de 60 A até 100 A</t>
  </si>
  <si>
    <t>Disjuntor série universal, em caixa moldada, térmico e magnético fixos, bipolar 480/600 V, corrente de 125 A</t>
  </si>
  <si>
    <t>Disjuntor série universal, em caixa moldada, térmico e magnético fixos, tripolar 600 v, corrente de 150 A até 225 A</t>
  </si>
  <si>
    <t>Eletroduto corrugado de polietileno de alta densidade, dn= 30 mm, com acessórios</t>
  </si>
  <si>
    <t>Eletroduto de pvc rígido roscável de 3/4´ - com acessórios</t>
  </si>
  <si>
    <t>Eletroduto de pvc rígido roscável de 3´ - com acessórios</t>
  </si>
  <si>
    <t>Placa de 4´ x 2´</t>
  </si>
  <si>
    <t>Placa de 4´ x 4´</t>
  </si>
  <si>
    <t>Lâmpada de vapor metálico elipsoidal, base e40 de 250 w</t>
  </si>
  <si>
    <t>Dispositivo diferencial residual de 25 a x 30 ma - 2 pólos</t>
  </si>
  <si>
    <t>371366</t>
  </si>
  <si>
    <t>60,00</t>
  </si>
  <si>
    <t>200,00</t>
  </si>
  <si>
    <t>700,00</t>
  </si>
  <si>
    <t>1.900,00</t>
  </si>
  <si>
    <t>600,00</t>
  </si>
  <si>
    <t>500,00</t>
  </si>
  <si>
    <t>25,00</t>
  </si>
  <si>
    <t>22,00</t>
  </si>
  <si>
    <t>80,00</t>
  </si>
  <si>
    <t>750,00</t>
  </si>
  <si>
    <t>140,00</t>
  </si>
  <si>
    <t>13,00</t>
  </si>
  <si>
    <t>Dispositivo diferencial residual de 100 a x 30 ma - 4 pólos</t>
  </si>
  <si>
    <t>Interruptor com 1 tecla paralelo e placa</t>
  </si>
  <si>
    <t>Interruptor com 1 tecla simples e placa</t>
  </si>
  <si>
    <t>Luminária triangular de sobrepor tipo arandela, para lâmpada incandescente até 100 w, ou fluorescente compacta eletrônica até 23 w</t>
  </si>
  <si>
    <t>Terminal de pressão/compressão para cabo de 25,0 mm²</t>
  </si>
  <si>
    <t>Terminal de pressão/compressão para cabo de 70 mm²</t>
  </si>
  <si>
    <t>Tomada 2p+t, 10a 250v, completa</t>
  </si>
  <si>
    <t>Tomada rj 11 para telefone, sem placa</t>
  </si>
  <si>
    <t>Tomada rj 45 para rede de dados, com placa</t>
  </si>
  <si>
    <t>Quadro de distribuicao de energia de embutir, em chapa metalica, para 40 disjuntores termomagneticos monopolares, com barramento trifasico e neutro, fornecimento e instalacao</t>
  </si>
  <si>
    <t>S.P.A. Atmosfericas</t>
  </si>
  <si>
    <t>Cabo de cobre nu 16 mm2</t>
  </si>
  <si>
    <t>Cabo de cobre nu 50 mm2</t>
  </si>
  <si>
    <t>Haste de aterramento de 5/8´ x 2,40 m</t>
  </si>
  <si>
    <t>Poste telecônico reto em aço sae 1010/1020 galvanizado a fogo, altura de 15,00 m</t>
  </si>
  <si>
    <t>Conector em latão estanhado para cabos de 16 a 50 mm² e vergalhões até 3/8´</t>
  </si>
  <si>
    <t>Tampa para caixa de inspeção cilíndrica, aço galvanizado</t>
  </si>
  <si>
    <t>Caixa de inspeção do terra cilíndrica em pvc rígido, diâmetro de 300 mm - h= 400 mm</t>
  </si>
  <si>
    <t>411467</t>
  </si>
  <si>
    <t>74131/007</t>
  </si>
  <si>
    <t>411032</t>
  </si>
  <si>
    <t>420532</t>
  </si>
  <si>
    <t>37,00</t>
  </si>
  <si>
    <t>10,00</t>
  </si>
  <si>
    <t>94,00</t>
  </si>
  <si>
    <t>30,00</t>
  </si>
  <si>
    <t>50,00</t>
  </si>
  <si>
    <t>cj</t>
  </si>
  <si>
    <t>Chapisco traco 1:3 (cimento e areia media), espessura 0,5cm, preparo manual da argamassa</t>
  </si>
  <si>
    <t>Chapisco traco 1:3 (cimento e areia media), espessura 0,5cm, preparo manualda argamassa</t>
  </si>
  <si>
    <t>Cantoneira de aluminio 1x1" , para protecao de quina de parede</t>
  </si>
  <si>
    <t>73928/002</t>
  </si>
  <si>
    <t>268,83</t>
  </si>
  <si>
    <t>73908/002</t>
  </si>
  <si>
    <t>854,85</t>
  </si>
  <si>
    <t>281,07</t>
  </si>
  <si>
    <t>573,78</t>
  </si>
  <si>
    <t>286,69</t>
  </si>
  <si>
    <t>Contrapiso em argamassa traco 1:4 (cimento e areia), espessura 7cm, preparo manual</t>
  </si>
  <si>
    <t>Regularizacao de piso/base em argamassa traco 1:3 (cimento e areia), espessura 2,0cm, preparo manual</t>
  </si>
  <si>
    <t>12.1</t>
  </si>
  <si>
    <t>12.2</t>
  </si>
  <si>
    <t>12.3</t>
  </si>
  <si>
    <t>12.4</t>
  </si>
  <si>
    <t>12.5</t>
  </si>
  <si>
    <t>12.6</t>
  </si>
  <si>
    <t>73910/001</t>
  </si>
  <si>
    <t>73910/003</t>
  </si>
  <si>
    <t>73910/005</t>
  </si>
  <si>
    <t>15,33</t>
  </si>
  <si>
    <t>Alvenaria de tijolo ceramico furado (baiano) esp.nom 15 cm</t>
  </si>
  <si>
    <t>Laje maciça</t>
  </si>
  <si>
    <t>Armacao em tela soldada q-138 (aco ca-60 4,2mm c/10cm)</t>
  </si>
  <si>
    <t>Concreto usinado bombeado fck=20mpa, inclusive lancamento e adensamento</t>
  </si>
  <si>
    <t>Portao de ferro com vara 1/2", com requadro</t>
  </si>
  <si>
    <t>Pntura esmalte 2 demaos c/1 demao zarcao p/esquadria ferro</t>
  </si>
  <si>
    <t>73994/001</t>
  </si>
  <si>
    <t>74100/001</t>
  </si>
  <si>
    <t>12,84</t>
  </si>
  <si>
    <t>19,30</t>
  </si>
  <si>
    <t>5,06</t>
  </si>
  <si>
    <t>14,24</t>
  </si>
  <si>
    <t>5,70</t>
  </si>
  <si>
    <t>0,72</t>
  </si>
  <si>
    <t>0,33</t>
  </si>
  <si>
    <t>7,08</t>
  </si>
  <si>
    <t>15,58</t>
  </si>
  <si>
    <t>LIXO COMUM / LIXO HOSPITALAR / CENTRAL DE GASES</t>
  </si>
  <si>
    <t>Tubo de cobre classe a, dn= 15mm (1/2´), inclusive conexões</t>
  </si>
  <si>
    <t>Tubo de cobre classe a, dn= 22mm (3/4´), inclusive conexões</t>
  </si>
  <si>
    <t>Tubo de cobre classe a, dn= 28mm (1´), inclusive conexões</t>
  </si>
  <si>
    <t>Válvula esfera em aço carbono fundido, passagem plena, classe 150 libras para vapor e classe 600 libras para água, óleo e gás, dn= 1/2´</t>
  </si>
  <si>
    <t>Válvula esfera em aço carbono fundido, passagem plena, classe 150 libras para vapor e classe 600 libras para água, óleo e gás, dn= 3/4´</t>
  </si>
  <si>
    <t>Válvula esfera em aço carbono fundido, passagem plena, classe 150 libras para vapor e classe 600 libras para água, óleo e gás, dn= 1´</t>
  </si>
  <si>
    <t>Caixa de setorização</t>
  </si>
  <si>
    <t>Válvula de seccionamento e alarme - 1"</t>
  </si>
  <si>
    <t>Gm- oxigênio (o2)- tubos cobre, conexões e  fixações</t>
  </si>
  <si>
    <t>Gm- geral (acess)- registros, válvulas e acessórios</t>
  </si>
  <si>
    <t>Gm- painéis de monitoramento de rede</t>
  </si>
  <si>
    <t>95,00</t>
  </si>
  <si>
    <t>125,00</t>
  </si>
  <si>
    <t>9.3</t>
  </si>
  <si>
    <t>Instalação montagem</t>
  </si>
  <si>
    <t>Itens e testes especiais</t>
  </si>
  <si>
    <t>9.4</t>
  </si>
  <si>
    <t>Painel de alarme</t>
  </si>
  <si>
    <t>Painel de oxigenio</t>
  </si>
  <si>
    <t>Redes geral</t>
  </si>
  <si>
    <t>Limpeza quimica de tubulações</t>
  </si>
  <si>
    <t>Testes especiais com nitrogenio</t>
  </si>
  <si>
    <t>Terminais de redes para paineis de cabeceira</t>
  </si>
  <si>
    <t>Locacao convencional de obra, através de gabarito de tabuas corridaspontaletadas, sem reaproveitamento</t>
  </si>
  <si>
    <t>74077/001</t>
  </si>
  <si>
    <t>74254/002</t>
  </si>
  <si>
    <t>Fechamento de alvenaria dos solariuns</t>
  </si>
  <si>
    <t>5.4</t>
  </si>
  <si>
    <t>73795/007</t>
  </si>
  <si>
    <t>Caixa d´água em polietileno, 1000 litros, com acessórios</t>
  </si>
  <si>
    <t>C0073</t>
  </si>
  <si>
    <t>C2086</t>
  </si>
  <si>
    <t>C4562</t>
  </si>
  <si>
    <t>C0621</t>
  </si>
  <si>
    <t xml:space="preserve">73860/007 </t>
  </si>
  <si>
    <t>73860/008</t>
  </si>
  <si>
    <t>73860/009</t>
  </si>
  <si>
    <t>73860/010</t>
  </si>
  <si>
    <t>73860/015</t>
  </si>
  <si>
    <t>C0858</t>
  </si>
  <si>
    <t>74130/001</t>
  </si>
  <si>
    <t>74130/003</t>
  </si>
  <si>
    <t>74130/005</t>
  </si>
  <si>
    <t>74130/007</t>
  </si>
  <si>
    <t>04434</t>
  </si>
  <si>
    <t>Dispositivo diferencial residual de 40 a x 30 ma - 2 pólos</t>
  </si>
  <si>
    <t>Dispositivo diferencial residual de 63 a x 30 ma - 4 pólos</t>
  </si>
  <si>
    <t>07996</t>
  </si>
  <si>
    <t>08077</t>
  </si>
  <si>
    <t>07997</t>
  </si>
  <si>
    <t>00470</t>
  </si>
  <si>
    <t>00476</t>
  </si>
  <si>
    <t>07592</t>
  </si>
  <si>
    <t>Luminária de sobrepor ou pendentee com aletas parabólicas  em calha, para lâmpada fluorescente, 2 x 32w (completa)</t>
  </si>
  <si>
    <t>73782/005</t>
  </si>
  <si>
    <t>73782/002</t>
  </si>
  <si>
    <t>00794</t>
  </si>
  <si>
    <t>C3910</t>
  </si>
  <si>
    <t>08798</t>
  </si>
  <si>
    <t>74166/001</t>
  </si>
  <si>
    <t>Assento articulado para banho, em alumínio com pintura epóxi de 700 x 450 mm</t>
  </si>
  <si>
    <t>Platibanda</t>
  </si>
  <si>
    <t>Laje cobertura/Caixa d'água</t>
  </si>
  <si>
    <t>Laje CPN</t>
  </si>
  <si>
    <t>Parede/Marquise</t>
  </si>
  <si>
    <t>Alvenaria do Projeto do Ministério</t>
  </si>
  <si>
    <t>Alvenaria que será retirada</t>
  </si>
  <si>
    <t>Pilaretes para a platibanda</t>
  </si>
  <si>
    <t>Área da Cobertura</t>
  </si>
  <si>
    <t>Chapisco/Ministério</t>
  </si>
  <si>
    <t>Chapisco/Retirado</t>
  </si>
  <si>
    <t>Revestimento porcelanato retificado, aplicado com argamassa industrializada, rejuntado c/epoxi, junta máxima de 2mm</t>
  </si>
  <si>
    <t>Porta PA1</t>
  </si>
  <si>
    <t>Porta PA2</t>
  </si>
  <si>
    <t>Porta PA3</t>
  </si>
  <si>
    <t>Porta PA5</t>
  </si>
  <si>
    <t>Porta PA4</t>
  </si>
  <si>
    <t>Porta lisa de correr, em madeira</t>
  </si>
  <si>
    <t>Vidro temperado incolor, espessura 6mm, fornecimento e instalacao</t>
  </si>
  <si>
    <t>Vidro temperado incolor, espessura 10mm, fornecimento e instalacao</t>
  </si>
  <si>
    <t>Fundo selador acrílico, uma demão</t>
  </si>
  <si>
    <t>Aplicação e lixamento de massa látex em paredes, duas demãos</t>
  </si>
  <si>
    <t>Aplicação manual de pintura com tinta acrílica acetinada em paredes, duas demãos</t>
  </si>
  <si>
    <t>Aplicação de fundo selador látex PVA em teto, uma demão</t>
  </si>
  <si>
    <t>Aplicação e lixamento de massa látex em teto, duas demãos</t>
  </si>
  <si>
    <t>Aplicação manual de pintura com tinta látex PVA em teto, duas demãos</t>
  </si>
  <si>
    <t>Aplicação manual de pintura com tinta texturizada acrílica em paredes</t>
  </si>
  <si>
    <t>Recep/Acolhimento</t>
  </si>
  <si>
    <t>Banheiro 1</t>
  </si>
  <si>
    <t>Banheiro 2</t>
  </si>
  <si>
    <t>Quarto PPP1</t>
  </si>
  <si>
    <t>Banheiro 5</t>
  </si>
  <si>
    <t>Quarto PPP 5</t>
  </si>
  <si>
    <t>Quarto PPP 4</t>
  </si>
  <si>
    <t>Banheiro 3</t>
  </si>
  <si>
    <t>Banheiro 4</t>
  </si>
  <si>
    <t>Quarto PPP 3</t>
  </si>
  <si>
    <t>Dep de Equip/Mat</t>
  </si>
  <si>
    <t>Banheiro Funcionário</t>
  </si>
  <si>
    <t>Refeitório/Deambulação/Circulação</t>
  </si>
  <si>
    <t>Quarto PPP 2</t>
  </si>
  <si>
    <t>Refeitório/caixa d'água</t>
  </si>
  <si>
    <t>Solarium 6</t>
  </si>
  <si>
    <t>Solarium 2</t>
  </si>
  <si>
    <t>Solarium 1</t>
  </si>
  <si>
    <t>Solarium 5</t>
  </si>
  <si>
    <t>Solarium 4</t>
  </si>
  <si>
    <t>Solarium 3</t>
  </si>
  <si>
    <t>Paredes externas Solariums</t>
  </si>
  <si>
    <t>Serviços Enfermagem/Posto Enf.</t>
  </si>
  <si>
    <t>MARQUISE</t>
  </si>
  <si>
    <t>Forro de PVC para a marquise</t>
  </si>
  <si>
    <t xml:space="preserve">C4468 </t>
  </si>
  <si>
    <t>Telhamento com telha de alumínio dupla, trapezoidal, tipo sanduíche 0,6mm pré pintada em duas faces, com isolamento de espuma rígida de poliuretano 30mm pintada</t>
  </si>
  <si>
    <t>C1353</t>
  </si>
  <si>
    <t>Revestimento metálico, tipo "reynobond" duas chapas</t>
  </si>
  <si>
    <t>C2222</t>
  </si>
  <si>
    <t>Calha em chapa de aço galvanizado numero 24, desenvolvimento de 33cm</t>
  </si>
  <si>
    <t>16.00</t>
  </si>
  <si>
    <t>Tubo de pvc "r" 75mm incl conexoes</t>
  </si>
  <si>
    <t>Forro de Gesso</t>
  </si>
  <si>
    <t>73986/001</t>
  </si>
  <si>
    <t>Reboco traco 1:2:8 (cimento, cal e areia media), espessura 2,0cm, preparo manual da argamassa</t>
  </si>
  <si>
    <t>Emboco traco 1:2:8 (cimento, cal e areia media), espessura 1,5cm, preparo mecânico</t>
  </si>
  <si>
    <t>Reboco traco 1:2:8 (cimento, cal e areia media), espessura 2,0cm, preparo mecânico</t>
  </si>
  <si>
    <t>87792</t>
  </si>
  <si>
    <t>Revestimento com cerâmica PEI 4, tipo A na cor branca com massa epóxi com espessura máxima de 2mm</t>
  </si>
  <si>
    <t>C3034</t>
  </si>
  <si>
    <t>C3670</t>
  </si>
  <si>
    <t>C4069</t>
  </si>
  <si>
    <t>C2506</t>
  </si>
  <si>
    <t>461002</t>
  </si>
  <si>
    <t>461003</t>
  </si>
  <si>
    <t>C2181</t>
  </si>
  <si>
    <t>07767</t>
  </si>
  <si>
    <t>07768</t>
  </si>
  <si>
    <t>Fevereiro de 2015/Com Desoneração</t>
  </si>
  <si>
    <t>Data Base: Fevereiro de 2015/Com Desoneração</t>
  </si>
  <si>
    <t>Data Base: Fevereiro 2015/Com Desoneração</t>
  </si>
  <si>
    <t>Data Base: Setembro de 2015/Com Desoneração</t>
  </si>
  <si>
    <t>Cintas e pilaretes de concreto armado</t>
  </si>
  <si>
    <t>Argento Line, natural retificado, similar linha concretyssimo</t>
  </si>
  <si>
    <t>Cerâmica tipo madeira, canela de demolição 20x120cm, natural retificado, similar a portobello</t>
  </si>
  <si>
    <t>Fachada Pricipal/Refeitório</t>
  </si>
  <si>
    <t>Fachada Pricipal/Varanda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</si>
  <si>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</si>
  <si>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</si>
  <si>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</si>
  <si>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</si>
  <si>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</si>
  <si>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</si>
  <si>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</si>
  <si>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</si>
  <si>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</si>
  <si>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</si>
  <si>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</si>
  <si>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3.1</t>
  </si>
  <si>
    <t>5.1</t>
  </si>
  <si>
    <t>5.2</t>
  </si>
  <si>
    <t>5.3</t>
  </si>
  <si>
    <t>ESQUADRIAS METÁLICAS</t>
  </si>
  <si>
    <t>6.1</t>
  </si>
  <si>
    <t>6.2</t>
  </si>
  <si>
    <t>6.3</t>
  </si>
  <si>
    <t>6.4</t>
  </si>
  <si>
    <t>6.5</t>
  </si>
  <si>
    <t>7.1</t>
  </si>
  <si>
    <t>7.2</t>
  </si>
  <si>
    <t>7.3</t>
  </si>
  <si>
    <t>7.4</t>
  </si>
  <si>
    <t>7.5</t>
  </si>
  <si>
    <t>Rede de água fria</t>
  </si>
  <si>
    <t>9.6</t>
  </si>
  <si>
    <t>BANHEIRA DE IMERSÃO EM FIBRA DE VIDRO 1,54M X 1,54M X 58CM</t>
  </si>
  <si>
    <t>PEDREIRO COM ENCARGOS COMPLEMENTARES</t>
  </si>
  <si>
    <t>ENCANADOR COM ENCARGOS COMPLEMENTARES</t>
  </si>
  <si>
    <t>AJUDANTE DE ENCANADOR COM ENCARGOS COMPLEMENTARES</t>
  </si>
  <si>
    <t>88309/SINAPI</t>
  </si>
  <si>
    <t>88267/SINAPI</t>
  </si>
  <si>
    <t>88248/SINAPI</t>
  </si>
  <si>
    <t>BANHEIRA DE FIBRA DE VIDRO</t>
  </si>
  <si>
    <t>I093460/CPOS</t>
  </si>
  <si>
    <t>VÁLVULA DE ESCOAMENTO CROMADA DE 1 1/2', REF. 1606C DA DECA OU EQUIVALENTE</t>
  </si>
  <si>
    <t>FITA TEFLON DE 18 MM</t>
  </si>
  <si>
    <t>I064004/CPOS</t>
  </si>
  <si>
    <t>I069552/CPOS</t>
  </si>
  <si>
    <t>Unid: UM</t>
  </si>
  <si>
    <t>REVESTIMENTO DE FORROS</t>
  </si>
  <si>
    <t>10.00</t>
  </si>
  <si>
    <t>REVESTIMENTO DE PAREDES INTERNAS</t>
  </si>
  <si>
    <t>REVESTIMENTO DE PAREDES EXTERNAS</t>
  </si>
  <si>
    <t>11.00</t>
  </si>
  <si>
    <t>11.1</t>
  </si>
  <si>
    <t>11.2</t>
  </si>
  <si>
    <t>11.3</t>
  </si>
  <si>
    <t>12.00</t>
  </si>
  <si>
    <t>13.1</t>
  </si>
  <si>
    <t>13.2</t>
  </si>
  <si>
    <t>13.3</t>
  </si>
  <si>
    <t>13.4</t>
  </si>
  <si>
    <t>13.5</t>
  </si>
  <si>
    <t>14.1</t>
  </si>
  <si>
    <t>14.2</t>
  </si>
  <si>
    <t>15.1</t>
  </si>
  <si>
    <t>15.2</t>
  </si>
  <si>
    <t>15.3</t>
  </si>
  <si>
    <t>16.1</t>
  </si>
  <si>
    <t>16.2</t>
  </si>
  <si>
    <t>16.3</t>
  </si>
  <si>
    <t>16.4</t>
  </si>
  <si>
    <t>16.5</t>
  </si>
  <si>
    <t>16.6</t>
  </si>
  <si>
    <t>16.7</t>
  </si>
  <si>
    <t>17.00</t>
  </si>
  <si>
    <t>17.1</t>
  </si>
  <si>
    <t>17.2</t>
  </si>
  <si>
    <t>17.3</t>
  </si>
  <si>
    <t>17.4</t>
  </si>
  <si>
    <t>17.5</t>
  </si>
  <si>
    <t>18.00</t>
  </si>
  <si>
    <t>18.1</t>
  </si>
  <si>
    <t>18.2</t>
  </si>
  <si>
    <t>18.3</t>
  </si>
  <si>
    <t>19.1</t>
  </si>
  <si>
    <t>19.2</t>
  </si>
  <si>
    <t>Solarium</t>
  </si>
  <si>
    <t>VIDROS</t>
  </si>
  <si>
    <t>19.00</t>
  </si>
  <si>
    <t>Fachada/Refeitório</t>
  </si>
  <si>
    <t>Reoco/Ministério</t>
  </si>
  <si>
    <t>Reboco/Retirado</t>
  </si>
  <si>
    <t xml:space="preserve">Banheira de imersão em acrílico </t>
  </si>
  <si>
    <t>Caixa da Banheira</t>
  </si>
  <si>
    <t>Calha de Alvenaria impermeabilizada</t>
  </si>
  <si>
    <t>Calha</t>
  </si>
  <si>
    <t>TUBO DE PVC "R" 40MM INCL CONEXOES - COL ESGOTO</t>
  </si>
  <si>
    <t>Unid: M</t>
  </si>
  <si>
    <t>TUBO DE PVC "R" 40MMM</t>
  </si>
  <si>
    <t>ADESIVO PARA TUBOS PVC</t>
  </si>
  <si>
    <t>SOLUCAO LIMPADORA P/ PVC</t>
  </si>
  <si>
    <t>I020067/SINAPI</t>
  </si>
  <si>
    <t>I20083/INSUMO</t>
  </si>
  <si>
    <t>I20068/SINAPI</t>
  </si>
  <si>
    <t>I00122/SINAPI</t>
  </si>
  <si>
    <t>TUBO DE PVC "R" 50MMM</t>
  </si>
  <si>
    <t>TUBO DE PVC "R" 75MMM</t>
  </si>
  <si>
    <t>I9839/SINAPI</t>
  </si>
  <si>
    <t>TUBO DE PVC "R" 100MMM</t>
  </si>
  <si>
    <t>I20072/SINAPI</t>
  </si>
  <si>
    <t>C2625</t>
  </si>
  <si>
    <t>C2626</t>
  </si>
  <si>
    <t>C2627</t>
  </si>
  <si>
    <t>TUBO DE PVC "R" 50MM INCL CONEXOES - COL ESGOTO/ÁGUA PLUVIAL</t>
  </si>
  <si>
    <t>TUBO DE PVC "R" 75MM INCL CONEXOES - COL ESGOTO/ÁGUA PLUVIAL</t>
  </si>
  <si>
    <t>TUBO DE PVC "R" 100MM INCL CONEXOES - COL ESGOTO/ÁGUA PLUVIAL</t>
  </si>
  <si>
    <t>TUBO DE PVC "R" PARA AGUAS PLUVIAIS 150MM - INCL. CONEXOES</t>
  </si>
  <si>
    <t>I20073/SINAPI</t>
  </si>
  <si>
    <t>CA-21 CANALETA DE AGUAS PLUVIAIS EM CONCRETO (20CM)</t>
  </si>
  <si>
    <t>TUBO DE PVC "R" 150MMM</t>
  </si>
  <si>
    <t>CARPINTEIRO COM ENCARGOS COMPLEMENTARES</t>
  </si>
  <si>
    <t>AJUDANTE DE CARPINTEIRO COM ENCARGOS COMPLEMENTARES</t>
  </si>
  <si>
    <t>CONCRETO DOSADO (CONDICAO-A) FCK 15 M PA</t>
  </si>
  <si>
    <t>SARRAFO BRUTO 5X2,5CM G1-C2</t>
  </si>
  <si>
    <t>PAINEL DE MADEIRA COMPENSADA RESINADA E=12MM G1-C8</t>
  </si>
  <si>
    <t>PREGO</t>
  </si>
  <si>
    <t>M²</t>
  </si>
  <si>
    <t>M³</t>
  </si>
  <si>
    <t>88262/SINAPI</t>
  </si>
  <si>
    <t>88239/SINAPI</t>
  </si>
  <si>
    <t>I04502/SINAPI</t>
  </si>
  <si>
    <t>I01350/SINAPI</t>
  </si>
  <si>
    <t>I05063/INSUMO</t>
  </si>
  <si>
    <t>I20530/FDE</t>
  </si>
  <si>
    <t>AREIA</t>
  </si>
  <si>
    <t>CAL HIDRATADA</t>
  </si>
  <si>
    <t xml:space="preserve">CIMENTO </t>
  </si>
  <si>
    <t>TIJOLO COMUM MACIÇO</t>
  </si>
  <si>
    <t xml:space="preserve">I00370/SINAPI </t>
  </si>
  <si>
    <t>I01106/SINAPI</t>
  </si>
  <si>
    <t>I01379/SINAPI</t>
  </si>
  <si>
    <t>I07258/INSUMO</t>
  </si>
  <si>
    <t xml:space="preserve"> Seiscentos  Trinta Seis Mil  Quinhentos  Vinte Reais e  Quarenta Quatro Centavos</t>
  </si>
  <si>
    <t>6.00</t>
  </si>
  <si>
    <t>7.00</t>
  </si>
  <si>
    <t>8.00</t>
  </si>
  <si>
    <t>150 DIAS</t>
  </si>
  <si>
    <t>Varanda</t>
  </si>
  <si>
    <t>Muro Solarium</t>
  </si>
  <si>
    <t>Laje sobre a caixa d'água (refeitório)</t>
  </si>
  <si>
    <t>TIJOLO CERAMICO FURADO BAIANAO 11,5X14X25CM</t>
  </si>
  <si>
    <t>I22529/FDE</t>
  </si>
  <si>
    <t>20.00</t>
  </si>
  <si>
    <t>m³</t>
  </si>
  <si>
    <t>3.2</t>
  </si>
  <si>
    <t>3.3</t>
  </si>
  <si>
    <t>3.4</t>
  </si>
  <si>
    <t>Vergas, contravergas, cintas e pilaretes de concreto armado</t>
  </si>
  <si>
    <t>8.6</t>
  </si>
  <si>
    <t>8.6.1</t>
  </si>
  <si>
    <t>Revestimento vinílico</t>
  </si>
  <si>
    <t>8.6.3</t>
  </si>
  <si>
    <t>Parede Comum/circulação</t>
  </si>
  <si>
    <t>Fachada lateral</t>
  </si>
  <si>
    <t>Fachada Lateral</t>
  </si>
  <si>
    <t>Emboço</t>
  </si>
  <si>
    <t>19.3</t>
  </si>
  <si>
    <t>Plantio de Grama</t>
  </si>
  <si>
    <t>20.1</t>
  </si>
  <si>
    <t>20.2</t>
  </si>
  <si>
    <t>20.3</t>
  </si>
  <si>
    <t>Frente</t>
  </si>
  <si>
    <t>Brise de concreto armado</t>
  </si>
  <si>
    <t>20.4</t>
  </si>
  <si>
    <t>20.5</t>
  </si>
  <si>
    <t>Molduras em concreto pré-moldados d=1m</t>
  </si>
  <si>
    <t>Bate maca</t>
  </si>
  <si>
    <t>Circulações</t>
  </si>
  <si>
    <t>PORTA DE MADEIRA COMPENSADA LISA PARA PINTURA, 160X210X3,5CM, 2 FOLHAS, INCLUSO ADUELA 2A, ALIZAR 2A E DOBRADICAS TIPO VAI E VEM</t>
  </si>
  <si>
    <t>CARPINTEIRO DE ESQUADRIA COM ENCARGOS COMPLEMENTARES</t>
  </si>
  <si>
    <t>88261/SINAPI</t>
  </si>
  <si>
    <t>ARGAMASSA TRAÇO 1:0,5:4,5 (CIMENTO, CAL E AREIA MÉDIA) PARA 
ASSENTAMENTO DE ALVENARIA, PREPARO MANUAL</t>
  </si>
  <si>
    <t>88627/SINAPI</t>
  </si>
  <si>
    <t>ADUELA/BATENTE DUPLO/CAIXAO/GRADE CAIXA 13 X 3CM P/PORTA 0,60 A 1,20 X 2,10M MADEIRA CEDRINHO/PINHO/CANELA OU SIMILAR</t>
  </si>
  <si>
    <t>I00184/SINAPI</t>
  </si>
  <si>
    <t>JG</t>
  </si>
  <si>
    <t>PECA DE MADEIRA DE LEI NATIVA/REGIONAL 10 X 10 X 3 CM P/ FIXACAO 
DE ESQUADRIAS OU RODAPE</t>
  </si>
  <si>
    <t>I4419/SINAPI</t>
  </si>
  <si>
    <t>PORTA DE MADEIRA SEMI-OCA, FOLHA LISA PARA PINTURA *80 X 210 X 
3,5* CM</t>
  </si>
  <si>
    <t>I10555/SINAPI</t>
  </si>
  <si>
    <t>ALIZAR / GUARNICAO 5 X 2CM MADEIRA CEDRO/IMBUIA/JEQUITIBA OU 
SIMILAR</t>
  </si>
  <si>
    <t>I20006/SINAPI</t>
  </si>
  <si>
    <t>PREGO DE ACO 15 X 15 C/ CABECA</t>
  </si>
  <si>
    <t>I20247/SINAPI</t>
  </si>
  <si>
    <t>DOBRADIÇA CROMADA TIPO VAI - VEM</t>
  </si>
  <si>
    <t>C1146/SEINFRA</t>
  </si>
  <si>
    <t>C0384</t>
  </si>
  <si>
    <t>CONCRETO ARMADO DOSADO 20 MPA INCL MAT P/ 1 M3 PREPARO CONF COMP 5845 COLOC CONF COMP 7090 14 M2 DE AREA MOLDADA FORMAS E ESCORAMENTO CONF COMPS 5306 E 5708 60 KG DE ACO CA-50 INC MAO DE OBRA P/CORTE DOBRAGEM MONTAGEM E COLOCAÇÃO</t>
  </si>
  <si>
    <t>Unid: M³</t>
  </si>
  <si>
    <t>CARPINTEIRO DE FORMAS COM ENCARGOS COMPLEMENTARES</t>
  </si>
  <si>
    <t xml:space="preserve">H </t>
  </si>
  <si>
    <t>88245/SINAPI</t>
  </si>
  <si>
    <t>ARMADOR COM ENCARGOS COMPLEMENTARES</t>
  </si>
  <si>
    <t>88297/SINAPI</t>
  </si>
  <si>
    <t>OPERADOR DE MÁQUINAS E EQUIPAMENTOS COM ENCARGOS COMPLEMENTARES</t>
  </si>
  <si>
    <t>I0337/SINAPI</t>
  </si>
  <si>
    <t>ARAME RECOZIDO 18 BWG, 1,25 MM (0,01 KG/M)</t>
  </si>
  <si>
    <t>I0027/SINAPI</t>
  </si>
  <si>
    <t>ACO CA-50, 16,0 MM, VERGALHAO</t>
  </si>
  <si>
    <t>I0029/SINAPI</t>
  </si>
  <si>
    <t>ACO CA-50, 20,0 MM, VERGALHAO</t>
  </si>
  <si>
    <t>I0031/SINAPI</t>
  </si>
  <si>
    <t>ACO CA-50, 12,5 MM, VERGALHAO</t>
  </si>
  <si>
    <t>I0032/SINAPI</t>
  </si>
  <si>
    <t>ACO CA-50, 6,3 MM, VERGALHAO</t>
  </si>
  <si>
    <t>I0033/SINAPI</t>
  </si>
  <si>
    <t>ACO CA-50, 8,0 MM, VERGALHAO</t>
  </si>
  <si>
    <t>I0034/SINAPI</t>
  </si>
  <si>
    <t>ACO CA-50, 10,0 MM, VERGALHAO</t>
  </si>
  <si>
    <t>SERVIÇOS</t>
  </si>
  <si>
    <t>73294/SINAPI</t>
  </si>
  <si>
    <t xml:space="preserve">BETONEIRA MOTOR GAS P/320L MIST SECA (CP) CARREG MEC E TAMBOR REVERSI-VEL - EXCL OPERADOR                                                                                                               </t>
  </si>
  <si>
    <t>73296/SINAPI</t>
  </si>
  <si>
    <t xml:space="preserve">ALUGUEL ELEVADOR EQUIPADO P/TRANSP CONCR A 10M ALT-CP-S/OPERADOR COM GUINCHO DE 10CV 16M TORRE DESMONTAVEL CACAMBA AUTOMATICA DE 550L FUNIL
P/DESCARGA E SILO DE ESPERA DE 1000L                                                                                                          </t>
  </si>
  <si>
    <t>73298/SINAPI</t>
  </si>
  <si>
    <t xml:space="preserve">VIBRADOR DE IMERSAO MOTOR ELETR 2CV (CP) TUBO DE 48X48 C/MANGOTEDE 5M COMP -EXCL OPERADOR                                                                                                               </t>
  </si>
  <si>
    <t>73299/SINAPI</t>
  </si>
  <si>
    <t xml:space="preserve">VIBRADOR DE IMERSAO MOTOR ELETR 2CV (CI) TUBO 48X480MM C/MANGOTEDE 5M COMP - EXCL OPERADOR                                                                                                              </t>
  </si>
  <si>
    <t>73300/SINAPI</t>
  </si>
  <si>
    <t xml:space="preserve">ALUGUEL ELEVADOR EQUIPADO P/TRANSP CONCR A 10M ALT-CI-S/OPERADOR COMGUINCHO DE 10CV 16M TORRE DESMONTAVEL CACAMBA AUTOMATICA DE 550L FUNILP/DESCARGA E SILO ESPERA DE 1000L                             </t>
  </si>
  <si>
    <t>73301/SINAPI</t>
  </si>
  <si>
    <t>ESCORAMENTO DE FORMA (CIMBRAMENTO) ATE 3,30M DE PE DIREITO, COM MADEIRA DE 3A QUALIDADE, NAO APARELHADA, TABUAS (2,5 X 23,0 CM) EMPREGADAS 3 VEZES E PRUMOS (7,5 X 7,5 CM) 4 VEZES</t>
  </si>
  <si>
    <t>M3</t>
  </si>
  <si>
    <t>73972/002/SINAPI</t>
  </si>
  <si>
    <t xml:space="preserve">CONCRETO FCK=20MPA CONTROLE C ,EXCLUINDO O LANCAMENTO, PREPARO COM B ETONEIRA, UTILIZANDO BRITA 1 E 2. (CONFORME NBR 6118, PERMITIDO APENASPARA FUNDAÇÕES)                                              </t>
  </si>
  <si>
    <t>74007/002/SINAPI</t>
  </si>
  <si>
    <t xml:space="preserve">FORMA TABUAS MADEIRA 3A P/ PECAS CONCRETO ARM, REAPR 2X, INCL MONTAGEM E DESMONTAGEM                                                                                                                                                    </t>
  </si>
  <si>
    <t>M2</t>
  </si>
  <si>
    <t>TOTAL SERVIÇOS</t>
  </si>
  <si>
    <t>73904/001</t>
  </si>
  <si>
    <t>Porta 60x210</t>
  </si>
  <si>
    <t>Porta 70x210</t>
  </si>
  <si>
    <t>Porta 80x210</t>
  </si>
  <si>
    <t>Porta de correr</t>
  </si>
  <si>
    <t>Compa</t>
  </si>
  <si>
    <t>Quarto PPP 1</t>
  </si>
  <si>
    <t>Dep. De Equip.</t>
  </si>
  <si>
    <t>Ban. Func.</t>
  </si>
  <si>
    <t>Recepção</t>
  </si>
  <si>
    <t>C2284</t>
  </si>
  <si>
    <t>Soleira em granito l=15cm</t>
  </si>
  <si>
    <t>Solarium 6, 2 e 1</t>
  </si>
  <si>
    <t>Solarium 5, 4 e 3</t>
  </si>
  <si>
    <t>09560</t>
  </si>
  <si>
    <t>Janela C1</t>
  </si>
  <si>
    <t>Janela C2</t>
  </si>
  <si>
    <t>Janela C3</t>
  </si>
  <si>
    <t>Janela C4</t>
  </si>
  <si>
    <t>Janela C7</t>
  </si>
  <si>
    <t>Janela C5</t>
  </si>
  <si>
    <t>Janela C6</t>
  </si>
  <si>
    <t>Visor 1</t>
  </si>
  <si>
    <t>Visor 2</t>
  </si>
  <si>
    <t>01819</t>
  </si>
  <si>
    <t>C1967</t>
  </si>
  <si>
    <t>74065/002</t>
  </si>
  <si>
    <t>Pintura esmalte sintético para madeira, duas demãos, sobre fundo branco</t>
  </si>
  <si>
    <t>Forma porta 60x210</t>
  </si>
  <si>
    <t>Forma porta 70x210</t>
  </si>
  <si>
    <t>Forma porta 80x210</t>
  </si>
  <si>
    <t>Brise de concreto</t>
  </si>
  <si>
    <t>Mólduras em concreto pré-moldados</t>
  </si>
  <si>
    <t>Cochão de areia para pavimentação em paralelepípedo ou blocos de concreto intertravados</t>
  </si>
  <si>
    <t>Piso Intertravado Tipo Tijolinho (19,9X10X4)cm cinza</t>
  </si>
  <si>
    <t>C3446</t>
  </si>
  <si>
    <t>DEMOLIÇÃO DE ALVENARIA DE BLOCO OU TIJOLO CERÂMICO, SEM REAPROVEITAMENTO</t>
  </si>
  <si>
    <t>00006/ORSE</t>
  </si>
  <si>
    <t>DEMOLIÇÃO DE PISO CERÂMICO OU LADRILHO</t>
  </si>
  <si>
    <t>00018/ORSE</t>
  </si>
  <si>
    <t>Unid: UM.</t>
  </si>
  <si>
    <t>Unid: UN.</t>
  </si>
  <si>
    <t>Caixa de ligacao ou inspecao - tampa de concreto armado (substituir as existentes do hospital)</t>
  </si>
  <si>
    <t>Estrutura metálica p/ cobertura</t>
  </si>
  <si>
    <t>MOLDURA EM CONCRETO PRÉ-MOLDADO D=1M</t>
  </si>
  <si>
    <t>Unid: UND</t>
  </si>
  <si>
    <t>I12546/SINAPI</t>
  </si>
  <si>
    <t>ANEL OU ADUELA CONCRETO ARMADO D = 1,00M, H = 0,40M AS</t>
  </si>
  <si>
    <t>UND</t>
  </si>
  <si>
    <t>ARGAMASSA DE CIMENTO E AREIA PEN. TRAÇO 1:3</t>
  </si>
  <si>
    <t>C0164</t>
  </si>
  <si>
    <t>73972/002</t>
  </si>
  <si>
    <t>Alvenaria de embasamento em tijolos ceramicos furado 10x20x20cm</t>
  </si>
  <si>
    <t xml:space="preserve">Alvenaria de tijolo cerâmico furado (9x19x19)cm c/argamassa mista de cal hidratada esp.=9cm (1:2:8), junta 1cm </t>
  </si>
  <si>
    <t>Laje pre-mold beta 12 p/3,5kn/m2 vao 4,1m incl vigotas tijolos armaduranegativa capeamento 3cm concreto 20mpa escoramento materiais e mao de obra</t>
  </si>
  <si>
    <t>73753/001</t>
  </si>
  <si>
    <t>Impermeabilização de Laje com manta asfáltica protegida filme de alumínio gofrado (de espessura 0,8mm), inclusa aplicação de emulsão asfaltica, E=3mm</t>
  </si>
  <si>
    <t>Impermeabilização de Calha com manta asfáltica protegida filme de alumínio gofrado (de espessura 0,8mm), inclusa aplicação de emulsão asfaltica, E=3mm</t>
  </si>
  <si>
    <t>Janela em alumínio, cor branco, de correr</t>
  </si>
  <si>
    <t>Janela em alumínio, cor branco, maximar</t>
  </si>
  <si>
    <t>Porta em aluminio, cor branco, de correr ou abrir, completa, exclusive vidros</t>
  </si>
  <si>
    <t>Porta em alumínio, cor branco</t>
  </si>
  <si>
    <t>Caixilho fixo, em alumínio cor branco, p/ visor</t>
  </si>
  <si>
    <t>ESQUADRIAS MADEIRA</t>
  </si>
  <si>
    <t>Porta de madeira compensada lisa para pintura, 60x210x3,5cm, incluso aduela 2a, alizar 2a e dobradicas</t>
  </si>
  <si>
    <t>Porta de madeira compensada lisa para pintura, 70 x 210 x 3,5cm, incluso aduela 2a, alizar 2a e dobradiça</t>
  </si>
  <si>
    <t>Porta de madeira compensada lisa para pintura, 80 x 210 x 3,5cm, incluso aduela 2a, alizar 2a e dobradiça</t>
  </si>
  <si>
    <t>Barra de apoio reta, para pessoas com mobilidade reduzida, em tubo de aço inoxidável de 1 1/2´ x 500 mm</t>
  </si>
  <si>
    <t>C1361</t>
  </si>
  <si>
    <t>Fechadura de embutir completa p/ porta interna</t>
  </si>
  <si>
    <t>Banheira hospitalar c/ tampo e cuba em aço inox, dim. 180x160cm</t>
  </si>
  <si>
    <t>C2496</t>
  </si>
  <si>
    <t>Torneira cirúrgica (instalado)</t>
  </si>
  <si>
    <t>C2311</t>
  </si>
  <si>
    <t>Tanque de aço inoxidável, com sifão cromado e válvula de metal - completo</t>
  </si>
  <si>
    <t>Emboco traco 1:2:8 (cimento, cal e areia media), espessura 2,0cm, preparo mecânico</t>
  </si>
  <si>
    <t>Areia p/ aterro com apiloamento manual</t>
  </si>
  <si>
    <t>C1853</t>
  </si>
  <si>
    <t>C1849</t>
  </si>
  <si>
    <t>Rodapes de porcelanato retificado 15cm</t>
  </si>
  <si>
    <t>C1615</t>
  </si>
  <si>
    <t>Aplicação manual de pintura com tinta hospitalar acrílica, acabamento  acetinada em paredes, sem odor, duas demãos</t>
  </si>
  <si>
    <t>Concreto fck=20mpa, virado em betoneira</t>
  </si>
  <si>
    <t>Peitoril em granito l=15cm</t>
  </si>
  <si>
    <t>URBANIZAÇÃO</t>
  </si>
  <si>
    <t>Platibanda CPN</t>
  </si>
  <si>
    <t>2.7</t>
  </si>
  <si>
    <t>2.8</t>
  </si>
  <si>
    <t>2.9</t>
  </si>
  <si>
    <t>2.10</t>
  </si>
  <si>
    <t>2.11</t>
  </si>
  <si>
    <t>111162/ORSE</t>
  </si>
  <si>
    <t>REVESTIMENTO VINÍLICO</t>
  </si>
  <si>
    <t>COLA CONTATO P/ CHAPA VINÍLICA/BORRACHA</t>
  </si>
  <si>
    <t>I04791/SINAPI</t>
  </si>
  <si>
    <t>4.00</t>
  </si>
  <si>
    <t>4.1</t>
  </si>
  <si>
    <t>4.2</t>
  </si>
  <si>
    <t>4.3</t>
  </si>
  <si>
    <t>4.3.1</t>
  </si>
  <si>
    <t>4.3.2</t>
  </si>
  <si>
    <t>4.3.3</t>
  </si>
  <si>
    <t>4.3.4</t>
  </si>
  <si>
    <t>4.4</t>
  </si>
  <si>
    <t>4.4.1</t>
  </si>
  <si>
    <t>4.4.2</t>
  </si>
  <si>
    <t>5.5</t>
  </si>
  <si>
    <t>5.6</t>
  </si>
  <si>
    <t>5.6.1</t>
  </si>
  <si>
    <t>5.6.2</t>
  </si>
  <si>
    <t>5.6.3</t>
  </si>
  <si>
    <t>5.6.4</t>
  </si>
  <si>
    <t>7.6</t>
  </si>
  <si>
    <t>7.7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</si>
  <si>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</si>
  <si>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</si>
  <si>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</si>
  <si>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</si>
  <si>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</si>
  <si>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</si>
  <si>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</si>
  <si>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</si>
  <si>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</si>
  <si>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</si>
  <si>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</si>
  <si>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</si>
  <si>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</si>
  <si>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</si>
  <si>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</si>
  <si>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</si>
  <si>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8.3.1</t>
  </si>
  <si>
    <t>8.3.2</t>
  </si>
  <si>
    <t>8.3.3</t>
  </si>
  <si>
    <t>8.3.4</t>
  </si>
  <si>
    <t>8.3.5</t>
  </si>
  <si>
    <t>8.3.6</t>
  </si>
  <si>
    <t>8.3.7</t>
  </si>
  <si>
    <t>8.4.1</t>
  </si>
  <si>
    <t>8.4.2</t>
  </si>
  <si>
    <t>8.4.3</t>
  </si>
  <si>
    <t>8.4.4</t>
  </si>
  <si>
    <t>8.4.5</t>
  </si>
  <si>
    <t>8.4.6</t>
  </si>
  <si>
    <t>8.4.7</t>
  </si>
  <si>
    <t>8.4.8</t>
  </si>
  <si>
    <t>8.4.9</t>
  </si>
  <si>
    <t>8.4.10</t>
  </si>
  <si>
    <t>8.4.11</t>
  </si>
  <si>
    <t>8.4.12</t>
  </si>
  <si>
    <t>8.4.13</t>
  </si>
  <si>
    <t>8.4.14</t>
  </si>
  <si>
    <t>8.4.15</t>
  </si>
  <si>
    <t>8.4.16</t>
  </si>
  <si>
    <t>8.5.7</t>
  </si>
  <si>
    <t>8.5.7.1</t>
  </si>
  <si>
    <t>8.5.7.2</t>
  </si>
  <si>
    <t>8.5.7.3</t>
  </si>
  <si>
    <t>8.5.7.4</t>
  </si>
  <si>
    <t>8.5.7.5</t>
  </si>
  <si>
    <t>8.5.7.6</t>
  </si>
  <si>
    <t>8.6.2</t>
  </si>
  <si>
    <t>9.5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</si>
  <si>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</si>
  <si>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</si>
  <si>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</si>
  <si>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</si>
  <si>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</si>
  <si>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</si>
  <si>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</si>
  <si>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</si>
  <si>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</si>
  <si>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</si>
  <si>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</si>
  <si>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</si>
  <si>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</si>
  <si>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</si>
  <si>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</si>
  <si>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</si>
  <si>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</si>
  <si>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</si>
  <si>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</si>
  <si>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</si>
  <si>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</si>
  <si>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</si>
  <si>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</si>
  <si>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</si>
  <si>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9.31</t>
  </si>
  <si>
    <t>9.32</t>
  </si>
  <si>
    <t>9.33</t>
  </si>
  <si>
    <t>9.34</t>
  </si>
  <si>
    <t>9.35</t>
  </si>
  <si>
    <t>9.36</t>
  </si>
  <si>
    <t>9.37</t>
  </si>
  <si>
    <t>9.38</t>
  </si>
  <si>
    <t>9.38.1</t>
  </si>
  <si>
    <t>9.38.2</t>
  </si>
  <si>
    <t>9.38.3</t>
  </si>
  <si>
    <t>9.38.4</t>
  </si>
  <si>
    <t>9.38.5</t>
  </si>
  <si>
    <t>9.38.6</t>
  </si>
  <si>
    <t>9.38.7</t>
  </si>
  <si>
    <t>11.4</t>
  </si>
  <si>
    <t>11.5</t>
  </si>
  <si>
    <t>12.7</t>
  </si>
  <si>
    <t>12.7.1</t>
  </si>
  <si>
    <t>12.7.2</t>
  </si>
  <si>
    <t>15.4</t>
  </si>
  <si>
    <t>15.5</t>
  </si>
  <si>
    <t>15.6</t>
  </si>
  <si>
    <t>15.7</t>
  </si>
  <si>
    <t>15.8</t>
  </si>
  <si>
    <t>16.7.1</t>
  </si>
  <si>
    <t>16.7.2</t>
  </si>
  <si>
    <t>16.7.3</t>
  </si>
  <si>
    <t>16.7.4</t>
  </si>
  <si>
    <t>16.7.5</t>
  </si>
  <si>
    <t>16.7.6</t>
  </si>
  <si>
    <t>16.7.7</t>
  </si>
  <si>
    <t>16.7.8</t>
  </si>
  <si>
    <t>17.1.1</t>
  </si>
  <si>
    <t>17.1.2</t>
  </si>
  <si>
    <t>17.1.3</t>
  </si>
  <si>
    <t>17.2.1</t>
  </si>
  <si>
    <t>17.2.2</t>
  </si>
  <si>
    <t>17.2.3</t>
  </si>
  <si>
    <t>17.2.4</t>
  </si>
  <si>
    <t>17.2.5</t>
  </si>
  <si>
    <t>17.3.1</t>
  </si>
  <si>
    <t>17.3.2</t>
  </si>
  <si>
    <t>17.4.1</t>
  </si>
  <si>
    <t>17.5.1</t>
  </si>
  <si>
    <t>17.5.2</t>
  </si>
  <si>
    <t>17.5.3</t>
  </si>
  <si>
    <t>19.4</t>
  </si>
  <si>
    <t>19.5</t>
  </si>
  <si>
    <t>19.6</t>
  </si>
  <si>
    <t>Fevereiro de 2015</t>
  </si>
  <si>
    <t>ALVENARIA DE TIJOLO CERAMICO FURADO (BAIANO) ESP.NOM 15 CM</t>
  </si>
  <si>
    <r>
      <rPr>
        <b/>
        <sz val="12"/>
        <rFont val="Arial"/>
        <family val="2"/>
      </rPr>
      <t xml:space="preserve">Município: </t>
    </r>
    <r>
      <rPr>
        <sz val="12"/>
        <rFont val="Arial"/>
        <family val="2"/>
      </rPr>
      <t>São Raimundo Nonato - PI</t>
    </r>
  </si>
  <si>
    <r>
      <rPr>
        <b/>
        <sz val="11"/>
        <rFont val="Arial"/>
        <family val="2"/>
      </rPr>
      <t>Município:</t>
    </r>
    <r>
      <rPr>
        <sz val="11"/>
        <rFont val="Arial"/>
        <family val="2"/>
      </rPr>
      <t xml:space="preserve">  São Raimundo Nonato - PI</t>
    </r>
  </si>
  <si>
    <r>
      <rPr>
        <b/>
        <sz val="14"/>
        <color indexed="8"/>
        <rFont val="Arial"/>
        <family val="2"/>
      </rPr>
      <t>Município:</t>
    </r>
    <r>
      <rPr>
        <sz val="14"/>
        <color indexed="8"/>
        <rFont val="Arial"/>
        <family val="2"/>
      </rPr>
      <t xml:space="preserve"> São Raimundo Nonato - PI</t>
    </r>
  </si>
  <si>
    <r>
      <rPr>
        <b/>
        <sz val="11"/>
        <color indexed="8"/>
        <rFont val="Arial"/>
        <family val="2"/>
      </rPr>
      <t>Município:</t>
    </r>
    <r>
      <rPr>
        <sz val="11"/>
        <color indexed="8"/>
        <rFont val="Arial"/>
        <family val="2"/>
      </rPr>
      <t xml:space="preserve"> São Raimundo Nonato - PI</t>
    </r>
  </si>
  <si>
    <r>
      <t xml:space="preserve">Município: </t>
    </r>
    <r>
      <rPr>
        <sz val="10"/>
        <rFont val="Arial"/>
        <family val="2"/>
      </rPr>
      <t>São Raimundo Nonato - PI</t>
    </r>
  </si>
  <si>
    <t>Teresina (PI), 23 de Abril de 2015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</si>
</sst>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&quot;.&quot;00"/>
    <numFmt numFmtId="173" formatCode="_(* #,##0.00_);_(* \(#,##0.00\);_(* \-??_);_(@_)"/>
    <numFmt numFmtId="174" formatCode="_-* #,##0.00_-;\-* #,##0.00_-;_-* \-??_-;_-@_-"/>
    <numFmt numFmtId="175" formatCode="_(* #,##0_);_(* \(#,##0\);_(* &quot;-&quot;??_);_(@_)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  <numFmt numFmtId="180" formatCode="#,##0.000"/>
    <numFmt numFmtId="181" formatCode="#,##0.0000"/>
    <numFmt numFmtId="182" formatCode="0.000"/>
    <numFmt numFmtId="183" formatCode="#,##0.00000"/>
    <numFmt numFmtId="184" formatCode="0.0000"/>
    <numFmt numFmtId="185" formatCode="_-* #,##0.0000_-;\-* #,##0.0000_-;_-* &quot;-&quot;??_-;_-@_-"/>
    <numFmt numFmtId="186" formatCode="_-* #,##0.000_-;\-* #,##0.000_-;_-* &quot;-&quot;??_-;_-@_-"/>
    <numFmt numFmtId="187" formatCode="#,##0.0000_ ;\-#,##0.0000\ "/>
    <numFmt numFmtId="188" formatCode="0.0"/>
    <numFmt numFmtId="189" formatCode="_(* #,##0.000_);_(* \(#,##0.000\);_(* &quot;-&quot;??_);_(@_)"/>
    <numFmt numFmtId="190" formatCode="_(* #,##0.0000_);_(* \(#,##0.0000\);_(* &quot;-&quot;??_);_(@_)"/>
    <numFmt numFmtId="191" formatCode="0.00000"/>
    <numFmt numFmtId="192" formatCode="[$-416]dddd\,\ d&quot; de &quot;mmmm&quot; de &quot;yyyy"/>
    <numFmt numFmtId="193" formatCode="0.0%"/>
    <numFmt numFmtId="194" formatCode="0.000000"/>
    <numFmt numFmtId="195" formatCode="@&quot; - PI&quot;"/>
    <numFmt numFmtId="196" formatCode="0\.00"/>
    <numFmt numFmtId="197" formatCode="00000000"/>
    <numFmt numFmtId="198" formatCode="00000000.0"/>
    <numFmt numFmtId="199" formatCode="00000000.0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14"/>
      <name val="Arial"/>
      <family val="2"/>
    </font>
    <font>
      <sz val="12"/>
      <name val="Arial Narrow"/>
      <family val="2"/>
    </font>
    <font>
      <b/>
      <sz val="12"/>
      <name val="Arial"/>
      <family val="2"/>
    </font>
    <font>
      <b/>
      <sz val="14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 val="single"/>
      <sz val="12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mbria"/>
      <family val="1"/>
    </font>
    <font>
      <i/>
      <sz val="12"/>
      <color indexed="8"/>
      <name val="Cambria"/>
      <family val="1"/>
    </font>
    <font>
      <b/>
      <sz val="14"/>
      <color indexed="8"/>
      <name val="Times New Roman"/>
      <family val="1"/>
    </font>
    <font>
      <b/>
      <sz val="11"/>
      <color indexed="63"/>
      <name val="Arial"/>
      <family val="2"/>
    </font>
    <font>
      <b/>
      <sz val="11"/>
      <color indexed="9"/>
      <name val="Arial"/>
      <family val="2"/>
    </font>
    <font>
      <sz val="11"/>
      <color indexed="63"/>
      <name val="Arial"/>
      <family val="2"/>
    </font>
    <font>
      <b/>
      <sz val="11"/>
      <name val="Calibri"/>
      <family val="2"/>
    </font>
    <font>
      <sz val="12"/>
      <color indexed="10"/>
      <name val="Arial"/>
      <family val="2"/>
    </font>
    <font>
      <b/>
      <i/>
      <sz val="12"/>
      <color indexed="8"/>
      <name val="Cambria"/>
      <family val="1"/>
    </font>
    <font>
      <b/>
      <sz val="25"/>
      <color indexed="8"/>
      <name val="Arial Narrow"/>
      <family val="2"/>
    </font>
    <font>
      <b/>
      <sz val="18"/>
      <color indexed="8"/>
      <name val="Arial Narrow"/>
      <family val="2"/>
    </font>
    <font>
      <b/>
      <sz val="22"/>
      <color indexed="8"/>
      <name val="Arial Narrow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i/>
      <sz val="10"/>
      <color rgb="FF000000"/>
      <name val="Cambria"/>
      <family val="1"/>
    </font>
    <font>
      <i/>
      <sz val="12"/>
      <color rgb="FF000000"/>
      <name val="Cambria"/>
      <family val="1"/>
    </font>
    <font>
      <b/>
      <sz val="14"/>
      <color theme="1"/>
      <name val="Times New Roman"/>
      <family val="1"/>
    </font>
    <font>
      <b/>
      <sz val="11"/>
      <color rgb="FF333333"/>
      <name val="Arial"/>
      <family val="2"/>
    </font>
    <font>
      <b/>
      <sz val="11"/>
      <color rgb="FFFFFFFF"/>
      <name val="Arial"/>
      <family val="2"/>
    </font>
    <font>
      <sz val="11"/>
      <color rgb="FF333333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i/>
      <sz val="12"/>
      <color rgb="FF000000"/>
      <name val="Cambria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956B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>
        <color indexed="63"/>
      </left>
      <right/>
      <top/>
      <bottom style="medium"/>
    </border>
    <border>
      <left>
        <color indexed="63"/>
      </left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/>
      <top style="medium"/>
      <bottom/>
    </border>
    <border>
      <left/>
      <right style="thin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 style="thin"/>
    </border>
  </borders>
  <cellStyleXfs count="44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5" fillId="29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0" fillId="21" borderId="5" applyNumberFormat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937">
    <xf numFmtId="0" fontId="0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0" fontId="3" fillId="0" borderId="0" xfId="0" applyNumberFormat="1" applyFont="1" applyFill="1" applyAlignment="1">
      <alignment horizontal="center" vertical="center" wrapText="1"/>
    </xf>
    <xf numFmtId="10" fontId="6" fillId="0" borderId="0" xfId="0" applyNumberFormat="1" applyFont="1" applyAlignment="1">
      <alignment horizontal="center" vertical="center" wrapText="1"/>
    </xf>
    <xf numFmtId="4" fontId="3" fillId="0" borderId="0" xfId="310" applyNumberFormat="1" applyFont="1" applyFill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3" fillId="0" borderId="0" xfId="310" applyNumberFormat="1" applyFont="1" applyFill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horizontal="left" vertical="top"/>
    </xf>
    <xf numFmtId="0" fontId="3" fillId="33" borderId="0" xfId="296" applyFont="1" applyFill="1" applyBorder="1" applyAlignment="1">
      <alignment/>
      <protection/>
    </xf>
    <xf numFmtId="4" fontId="3" fillId="34" borderId="0" xfId="310" applyNumberFormat="1" applyFont="1" applyFill="1" applyAlignment="1">
      <alignment horizontal="right" vertical="center" wrapText="1"/>
    </xf>
    <xf numFmtId="4" fontId="6" fillId="34" borderId="0" xfId="0" applyNumberFormat="1" applyFont="1" applyFill="1" applyBorder="1" applyAlignment="1">
      <alignment horizontal="right" vertical="center" wrapText="1"/>
    </xf>
    <xf numFmtId="4" fontId="6" fillId="34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43" fontId="6" fillId="0" borderId="0" xfId="0" applyNumberFormat="1" applyFont="1" applyFill="1" applyAlignment="1">
      <alignment horizontal="center" vertical="center" wrapText="1"/>
    </xf>
    <xf numFmtId="171" fontId="6" fillId="0" borderId="0" xfId="444" applyFont="1" applyFill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center" vertical="center" wrapText="1"/>
    </xf>
    <xf numFmtId="4" fontId="3" fillId="34" borderId="0" xfId="310" applyNumberFormat="1" applyFont="1" applyFill="1" applyBorder="1" applyAlignment="1">
      <alignment horizontal="right" vertical="center" wrapText="1"/>
    </xf>
    <xf numFmtId="4" fontId="3" fillId="34" borderId="0" xfId="310" applyNumberFormat="1" applyFont="1" applyFill="1" applyBorder="1" applyAlignment="1">
      <alignment horizontal="center" vertical="center" wrapText="1"/>
    </xf>
    <xf numFmtId="10" fontId="3" fillId="34" borderId="0" xfId="0" applyNumberFormat="1" applyFont="1" applyFill="1" applyBorder="1" applyAlignment="1">
      <alignment horizontal="center" vertical="center" wrapText="1"/>
    </xf>
    <xf numFmtId="0" fontId="3" fillId="34" borderId="0" xfId="296" applyFont="1" applyFill="1" applyBorder="1" applyAlignment="1">
      <alignment vertical="center"/>
      <protection/>
    </xf>
    <xf numFmtId="0" fontId="3" fillId="34" borderId="0" xfId="296" applyFont="1" applyFill="1" applyBorder="1" applyAlignment="1">
      <alignment horizontal="center" vertical="center"/>
      <protection/>
    </xf>
    <xf numFmtId="0" fontId="9" fillId="34" borderId="0" xfId="296" applyFont="1" applyFill="1" applyAlignment="1">
      <alignment vertical="center"/>
      <protection/>
    </xf>
    <xf numFmtId="171" fontId="9" fillId="34" borderId="0" xfId="432" applyFont="1" applyFill="1" applyAlignment="1">
      <alignment vertical="center"/>
    </xf>
    <xf numFmtId="0" fontId="10" fillId="34" borderId="0" xfId="296" applyFont="1" applyFill="1">
      <alignment/>
      <protection/>
    </xf>
    <xf numFmtId="171" fontId="10" fillId="34" borderId="0" xfId="432" applyFont="1" applyFill="1" applyAlignment="1">
      <alignment/>
    </xf>
    <xf numFmtId="0" fontId="3" fillId="34" borderId="0" xfId="299" applyFont="1" applyFill="1" applyAlignment="1">
      <alignment horizontal="center" vertical="center" wrapText="1"/>
      <protection/>
    </xf>
    <xf numFmtId="171" fontId="3" fillId="34" borderId="0" xfId="321" applyFont="1" applyFill="1" applyAlignment="1">
      <alignment vertical="center" wrapText="1"/>
    </xf>
    <xf numFmtId="0" fontId="3" fillId="34" borderId="0" xfId="299" applyFont="1" applyFill="1" applyAlignment="1">
      <alignment vertical="center" wrapText="1"/>
      <protection/>
    </xf>
    <xf numFmtId="171" fontId="3" fillId="34" borderId="0" xfId="321" applyNumberFormat="1" applyFont="1" applyFill="1" applyAlignment="1">
      <alignment vertical="center" wrapText="1"/>
    </xf>
    <xf numFmtId="43" fontId="3" fillId="34" borderId="0" xfId="299" applyNumberFormat="1" applyFont="1" applyFill="1" applyAlignment="1">
      <alignment horizontal="right" vertical="center" wrapText="1"/>
      <protection/>
    </xf>
    <xf numFmtId="0" fontId="3" fillId="34" borderId="0" xfId="299" applyFont="1" applyFill="1" applyBorder="1" applyAlignment="1">
      <alignment horizontal="left" vertical="center" wrapText="1"/>
      <protection/>
    </xf>
    <xf numFmtId="0" fontId="9" fillId="34" borderId="0" xfId="296" applyFont="1" applyFill="1">
      <alignment/>
      <protection/>
    </xf>
    <xf numFmtId="171" fontId="9" fillId="34" borderId="0" xfId="432" applyFont="1" applyFill="1" applyAlignment="1">
      <alignment/>
    </xf>
    <xf numFmtId="0" fontId="3" fillId="34" borderId="0" xfId="299" applyFont="1" applyFill="1" applyBorder="1" applyAlignment="1">
      <alignment horizontal="left"/>
      <protection/>
    </xf>
    <xf numFmtId="0" fontId="3" fillId="34" borderId="0" xfId="299" applyNumberFormat="1" applyFont="1" applyFill="1" applyBorder="1" applyAlignment="1">
      <alignment/>
      <protection/>
    </xf>
    <xf numFmtId="0" fontId="2" fillId="34" borderId="0" xfId="299" applyFont="1" applyFill="1" applyBorder="1" applyAlignment="1">
      <alignment horizontal="left" vertical="center"/>
      <protection/>
    </xf>
    <xf numFmtId="171" fontId="9" fillId="34" borderId="0" xfId="432" applyFont="1" applyFill="1" applyAlignment="1">
      <alignment horizontal="left"/>
    </xf>
    <xf numFmtId="0" fontId="2" fillId="34" borderId="0" xfId="299" applyFont="1" applyFill="1" applyBorder="1" applyAlignment="1">
      <alignment horizontal="left" vertical="top"/>
      <protection/>
    </xf>
    <xf numFmtId="0" fontId="14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78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vertical="center" wrapText="1"/>
    </xf>
    <xf numFmtId="0" fontId="0" fillId="34" borderId="0" xfId="0" applyFill="1" applyBorder="1" applyAlignment="1">
      <alignment/>
    </xf>
    <xf numFmtId="0" fontId="44" fillId="0" borderId="0" xfId="0" applyNumberFormat="1" applyFont="1" applyFill="1" applyBorder="1" applyAlignment="1">
      <alignment vertical="center" wrapText="1"/>
    </xf>
    <xf numFmtId="172" fontId="45" fillId="0" borderId="0" xfId="52" applyNumberFormat="1" applyFont="1" applyFill="1" applyBorder="1" applyAlignment="1">
      <alignment vertical="center" wrapText="1"/>
      <protection/>
    </xf>
    <xf numFmtId="0" fontId="79" fillId="0" borderId="0" xfId="0" applyFont="1" applyFill="1" applyBorder="1" applyAlignment="1">
      <alignment vertical="center"/>
    </xf>
    <xf numFmtId="0" fontId="80" fillId="34" borderId="0" xfId="0" applyFont="1" applyFill="1" applyBorder="1" applyAlignment="1">
      <alignment horizontal="center" vertical="center"/>
    </xf>
    <xf numFmtId="0" fontId="79" fillId="34" borderId="0" xfId="0" applyFont="1" applyFill="1" applyBorder="1" applyAlignment="1">
      <alignment vertical="center"/>
    </xf>
    <xf numFmtId="171" fontId="21" fillId="34" borderId="0" xfId="308" applyFont="1" applyFill="1" applyBorder="1" applyAlignment="1">
      <alignment horizontal="center" vertical="center" wrapText="1"/>
    </xf>
    <xf numFmtId="171" fontId="21" fillId="34" borderId="0" xfId="308" applyFont="1" applyFill="1" applyBorder="1" applyAlignment="1">
      <alignment horizontal="center" vertical="center"/>
    </xf>
    <xf numFmtId="171" fontId="21" fillId="35" borderId="15" xfId="308" applyFont="1" applyFill="1" applyBorder="1" applyAlignment="1">
      <alignment horizontal="center" vertical="center" wrapText="1"/>
    </xf>
    <xf numFmtId="171" fontId="21" fillId="35" borderId="16" xfId="308" applyFont="1" applyFill="1" applyBorder="1" applyAlignment="1">
      <alignment horizontal="left" vertical="center" wrapText="1"/>
    </xf>
    <xf numFmtId="171" fontId="21" fillId="35" borderId="16" xfId="308" applyFont="1" applyFill="1" applyBorder="1" applyAlignment="1">
      <alignment horizontal="center" vertical="center" wrapText="1"/>
    </xf>
    <xf numFmtId="171" fontId="21" fillId="35" borderId="16" xfId="308" applyFont="1" applyFill="1" applyBorder="1" applyAlignment="1">
      <alignment horizontal="center" vertical="center"/>
    </xf>
    <xf numFmtId="171" fontId="21" fillId="35" borderId="17" xfId="308" applyFont="1" applyFill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81" fillId="0" borderId="11" xfId="0" applyFont="1" applyBorder="1" applyAlignment="1">
      <alignment wrapText="1"/>
    </xf>
    <xf numFmtId="0" fontId="81" fillId="0" borderId="11" xfId="0" applyFont="1" applyBorder="1" applyAlignment="1">
      <alignment/>
    </xf>
    <xf numFmtId="0" fontId="81" fillId="0" borderId="11" xfId="0" applyFont="1" applyBorder="1" applyAlignment="1">
      <alignment horizontal="center" vertical="center"/>
    </xf>
    <xf numFmtId="2" fontId="81" fillId="0" borderId="11" xfId="0" applyNumberFormat="1" applyFont="1" applyBorder="1" applyAlignment="1">
      <alignment horizontal="center" vertical="center"/>
    </xf>
    <xf numFmtId="2" fontId="80" fillId="0" borderId="18" xfId="0" applyNumberFormat="1" applyFont="1" applyBorder="1" applyAlignment="1">
      <alignment horizontal="center" vertical="center"/>
    </xf>
    <xf numFmtId="0" fontId="81" fillId="0" borderId="12" xfId="0" applyFont="1" applyBorder="1" applyAlignment="1">
      <alignment horizontal="center" vertical="center"/>
    </xf>
    <xf numFmtId="0" fontId="81" fillId="0" borderId="0" xfId="0" applyFont="1" applyBorder="1" applyAlignment="1">
      <alignment wrapText="1"/>
    </xf>
    <xf numFmtId="0" fontId="81" fillId="0" borderId="0" xfId="0" applyFont="1" applyBorder="1" applyAlignment="1">
      <alignment horizontal="center" vertical="center" wrapText="1"/>
    </xf>
    <xf numFmtId="2" fontId="81" fillId="0" borderId="0" xfId="0" applyNumberFormat="1" applyFont="1" applyBorder="1" applyAlignment="1">
      <alignment horizontal="center" vertical="center"/>
    </xf>
    <xf numFmtId="2" fontId="81" fillId="0" borderId="19" xfId="0" applyNumberFormat="1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81" fillId="0" borderId="13" xfId="0" applyFont="1" applyBorder="1" applyAlignment="1">
      <alignment horizontal="center" vertical="center"/>
    </xf>
    <xf numFmtId="0" fontId="81" fillId="0" borderId="14" xfId="0" applyFont="1" applyBorder="1" applyAlignment="1">
      <alignment wrapText="1"/>
    </xf>
    <xf numFmtId="0" fontId="81" fillId="0" borderId="14" xfId="0" applyFont="1" applyBorder="1" applyAlignment="1">
      <alignment horizontal="center" vertical="center" wrapText="1"/>
    </xf>
    <xf numFmtId="0" fontId="81" fillId="0" borderId="14" xfId="0" applyFont="1" applyBorder="1" applyAlignment="1">
      <alignment/>
    </xf>
    <xf numFmtId="2" fontId="81" fillId="0" borderId="14" xfId="0" applyNumberFormat="1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2" fontId="80" fillId="0" borderId="20" xfId="0" applyNumberFormat="1" applyFont="1" applyBorder="1" applyAlignment="1">
      <alignment horizontal="center" vertical="center"/>
    </xf>
    <xf numFmtId="0" fontId="81" fillId="0" borderId="0" xfId="0" applyFont="1" applyFill="1" applyBorder="1" applyAlignment="1">
      <alignment/>
    </xf>
    <xf numFmtId="2" fontId="80" fillId="0" borderId="19" xfId="0" applyNumberFormat="1" applyFont="1" applyBorder="1" applyAlignment="1">
      <alignment horizontal="center" vertical="center"/>
    </xf>
    <xf numFmtId="0" fontId="81" fillId="0" borderId="11" xfId="0" applyFont="1" applyFill="1" applyBorder="1" applyAlignment="1">
      <alignment/>
    </xf>
    <xf numFmtId="0" fontId="81" fillId="0" borderId="14" xfId="0" applyFont="1" applyFill="1" applyBorder="1" applyAlignment="1">
      <alignment/>
    </xf>
    <xf numFmtId="0" fontId="81" fillId="0" borderId="0" xfId="0" applyFont="1" applyBorder="1" applyAlignment="1">
      <alignment/>
    </xf>
    <xf numFmtId="171" fontId="21" fillId="35" borderId="10" xfId="308" applyFont="1" applyFill="1" applyBorder="1" applyAlignment="1">
      <alignment horizontal="center" vertical="center" wrapText="1"/>
    </xf>
    <xf numFmtId="171" fontId="21" fillId="35" borderId="11" xfId="308" applyFont="1" applyFill="1" applyBorder="1" applyAlignment="1">
      <alignment horizontal="left" vertical="center" wrapText="1"/>
    </xf>
    <xf numFmtId="171" fontId="21" fillId="35" borderId="11" xfId="308" applyFont="1" applyFill="1" applyBorder="1" applyAlignment="1">
      <alignment horizontal="center" vertical="center" wrapText="1"/>
    </xf>
    <xf numFmtId="171" fontId="21" fillId="35" borderId="11" xfId="308" applyFont="1" applyFill="1" applyBorder="1" applyAlignment="1">
      <alignment horizontal="center" vertical="center"/>
    </xf>
    <xf numFmtId="171" fontId="21" fillId="35" borderId="18" xfId="308" applyFont="1" applyFill="1" applyBorder="1" applyAlignment="1">
      <alignment horizontal="center" vertical="center"/>
    </xf>
    <xf numFmtId="171" fontId="20" fillId="0" borderId="10" xfId="308" applyFont="1" applyFill="1" applyBorder="1" applyAlignment="1">
      <alignment horizontal="center" vertical="center" wrapText="1"/>
    </xf>
    <xf numFmtId="171" fontId="20" fillId="0" borderId="11" xfId="308" applyFont="1" applyFill="1" applyBorder="1" applyAlignment="1">
      <alignment horizontal="left" vertical="center" wrapText="1"/>
    </xf>
    <xf numFmtId="171" fontId="21" fillId="0" borderId="11" xfId="308" applyFont="1" applyFill="1" applyBorder="1" applyAlignment="1">
      <alignment horizontal="center" vertical="center" wrapText="1"/>
    </xf>
    <xf numFmtId="171" fontId="21" fillId="0" borderId="11" xfId="308" applyFont="1" applyFill="1" applyBorder="1" applyAlignment="1">
      <alignment horizontal="center" vertical="center"/>
    </xf>
    <xf numFmtId="171" fontId="21" fillId="0" borderId="18" xfId="308" applyFont="1" applyFill="1" applyBorder="1" applyAlignment="1">
      <alignment horizontal="center" vertical="center"/>
    </xf>
    <xf numFmtId="171" fontId="20" fillId="0" borderId="14" xfId="308" applyFont="1" applyFill="1" applyBorder="1" applyAlignment="1">
      <alignment horizontal="left" vertical="center" wrapText="1"/>
    </xf>
    <xf numFmtId="171" fontId="21" fillId="0" borderId="14" xfId="308" applyFont="1" applyFill="1" applyBorder="1" applyAlignment="1">
      <alignment horizontal="center" vertical="center"/>
    </xf>
    <xf numFmtId="171" fontId="20" fillId="0" borderId="13" xfId="308" applyFont="1" applyFill="1" applyBorder="1" applyAlignment="1">
      <alignment horizontal="center" vertical="center" wrapText="1"/>
    </xf>
    <xf numFmtId="171" fontId="21" fillId="0" borderId="14" xfId="308" applyFont="1" applyFill="1" applyBorder="1" applyAlignment="1">
      <alignment horizontal="left" vertical="center" wrapText="1"/>
    </xf>
    <xf numFmtId="171" fontId="81" fillId="0" borderId="12" xfId="308" applyFont="1" applyFill="1" applyBorder="1" applyAlignment="1">
      <alignment horizontal="center" vertical="center" wrapText="1"/>
    </xf>
    <xf numFmtId="171" fontId="81" fillId="0" borderId="0" xfId="308" applyFont="1" applyFill="1" applyBorder="1" applyAlignment="1">
      <alignment horizontal="left" vertical="center" wrapText="1"/>
    </xf>
    <xf numFmtId="171" fontId="80" fillId="0" borderId="13" xfId="308" applyFont="1" applyFill="1" applyBorder="1" applyAlignment="1">
      <alignment horizontal="center" vertical="center" wrapText="1"/>
    </xf>
    <xf numFmtId="171" fontId="80" fillId="0" borderId="14" xfId="308" applyFont="1" applyFill="1" applyBorder="1" applyAlignment="1">
      <alignment horizontal="left" vertical="center" wrapText="1"/>
    </xf>
    <xf numFmtId="171" fontId="81" fillId="0" borderId="10" xfId="308" applyFont="1" applyFill="1" applyBorder="1" applyAlignment="1">
      <alignment horizontal="center" vertical="center" wrapText="1"/>
    </xf>
    <xf numFmtId="171" fontId="81" fillId="0" borderId="11" xfId="308" applyFont="1" applyFill="1" applyBorder="1" applyAlignment="1">
      <alignment horizontal="left" vertical="center" wrapText="1"/>
    </xf>
    <xf numFmtId="2" fontId="81" fillId="0" borderId="0" xfId="0" applyNumberFormat="1" applyFont="1" applyFill="1" applyBorder="1" applyAlignment="1">
      <alignment horizontal="center" vertical="center"/>
    </xf>
    <xf numFmtId="171" fontId="81" fillId="0" borderId="14" xfId="308" applyFont="1" applyFill="1" applyBorder="1" applyAlignment="1">
      <alignment horizontal="left" vertical="center" wrapText="1"/>
    </xf>
    <xf numFmtId="171" fontId="21" fillId="0" borderId="14" xfId="308" applyFont="1" applyFill="1" applyBorder="1" applyAlignment="1">
      <alignment horizontal="center" vertical="center" wrapText="1"/>
    </xf>
    <xf numFmtId="171" fontId="20" fillId="0" borderId="0" xfId="308" applyFont="1" applyFill="1" applyBorder="1" applyAlignment="1">
      <alignment horizontal="left" vertical="center" wrapText="1"/>
    </xf>
    <xf numFmtId="0" fontId="81" fillId="0" borderId="18" xfId="0" applyFont="1" applyBorder="1" applyAlignment="1">
      <alignment/>
    </xf>
    <xf numFmtId="0" fontId="81" fillId="0" borderId="19" xfId="0" applyFont="1" applyBorder="1" applyAlignment="1">
      <alignment/>
    </xf>
    <xf numFmtId="2" fontId="81" fillId="0" borderId="0" xfId="0" applyNumberFormat="1" applyFont="1" applyBorder="1" applyAlignment="1">
      <alignment horizontal="left" vertical="center"/>
    </xf>
    <xf numFmtId="171" fontId="20" fillId="0" borderId="12" xfId="308" applyFont="1" applyFill="1" applyBorder="1" applyAlignment="1">
      <alignment horizontal="center" vertical="center" wrapText="1"/>
    </xf>
    <xf numFmtId="171" fontId="21" fillId="0" borderId="0" xfId="308" applyFont="1" applyFill="1" applyBorder="1" applyAlignment="1">
      <alignment horizontal="center" vertical="center"/>
    </xf>
    <xf numFmtId="171" fontId="21" fillId="0" borderId="0" xfId="308" applyFont="1" applyFill="1" applyBorder="1" applyAlignment="1">
      <alignment horizontal="left" vertical="center" wrapText="1"/>
    </xf>
    <xf numFmtId="171" fontId="21" fillId="0" borderId="12" xfId="308" applyFont="1" applyFill="1" applyBorder="1" applyAlignment="1">
      <alignment horizontal="center" vertical="center" wrapText="1"/>
    </xf>
    <xf numFmtId="171" fontId="20" fillId="0" borderId="0" xfId="308" applyFont="1" applyFill="1" applyBorder="1" applyAlignment="1">
      <alignment vertical="center" wrapText="1"/>
    </xf>
    <xf numFmtId="171" fontId="81" fillId="0" borderId="13" xfId="308" applyFont="1" applyFill="1" applyBorder="1" applyAlignment="1">
      <alignment horizontal="center" vertical="center" wrapText="1"/>
    </xf>
    <xf numFmtId="171" fontId="81" fillId="0" borderId="11" xfId="308" applyFont="1" applyFill="1" applyBorder="1" applyAlignment="1">
      <alignment horizontal="center" vertical="center" wrapText="1"/>
    </xf>
    <xf numFmtId="171" fontId="81" fillId="0" borderId="11" xfId="308" applyFont="1" applyFill="1" applyBorder="1" applyAlignment="1">
      <alignment horizontal="center" vertical="center"/>
    </xf>
    <xf numFmtId="171" fontId="81" fillId="0" borderId="18" xfId="308" applyFont="1" applyFill="1" applyBorder="1" applyAlignment="1">
      <alignment horizontal="center" vertical="center"/>
    </xf>
    <xf numFmtId="171" fontId="81" fillId="0" borderId="14" xfId="308" applyFont="1" applyFill="1" applyBorder="1" applyAlignment="1">
      <alignment horizontal="center" vertical="center"/>
    </xf>
    <xf numFmtId="2" fontId="81" fillId="0" borderId="0" xfId="0" applyNumberFormat="1" applyFont="1" applyBorder="1" applyAlignment="1">
      <alignment horizontal="center"/>
    </xf>
    <xf numFmtId="171" fontId="81" fillId="0" borderId="18" xfId="308" applyFont="1" applyFill="1" applyBorder="1" applyAlignment="1">
      <alignment vertical="center"/>
    </xf>
    <xf numFmtId="2" fontId="81" fillId="0" borderId="19" xfId="0" applyNumberFormat="1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0" fontId="80" fillId="0" borderId="0" xfId="0" applyFont="1" applyBorder="1" applyAlignment="1">
      <alignment/>
    </xf>
    <xf numFmtId="0" fontId="81" fillId="0" borderId="0" xfId="0" applyFont="1" applyFill="1" applyBorder="1" applyAlignment="1">
      <alignment wrapText="1"/>
    </xf>
    <xf numFmtId="0" fontId="81" fillId="0" borderId="0" xfId="0" applyFont="1" applyBorder="1" applyAlignment="1">
      <alignment vertical="center"/>
    </xf>
    <xf numFmtId="0" fontId="81" fillId="0" borderId="14" xfId="0" applyFont="1" applyBorder="1" applyAlignment="1">
      <alignment horizontal="center"/>
    </xf>
    <xf numFmtId="2" fontId="81" fillId="0" borderId="14" xfId="0" applyNumberFormat="1" applyFont="1" applyBorder="1" applyAlignment="1">
      <alignment horizontal="center"/>
    </xf>
    <xf numFmtId="2" fontId="81" fillId="0" borderId="11" xfId="0" applyNumberFormat="1" applyFont="1" applyBorder="1" applyAlignment="1">
      <alignment horizontal="center"/>
    </xf>
    <xf numFmtId="171" fontId="21" fillId="0" borderId="13" xfId="308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81" fillId="0" borderId="12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184" fontId="82" fillId="36" borderId="21" xfId="0" applyNumberFormat="1" applyFont="1" applyFill="1" applyBorder="1" applyAlignment="1">
      <alignment horizontal="right" vertical="top" wrapText="1"/>
    </xf>
    <xf numFmtId="0" fontId="83" fillId="34" borderId="0" xfId="0" applyFont="1" applyFill="1" applyBorder="1" applyAlignment="1">
      <alignment vertical="top" wrapText="1"/>
    </xf>
    <xf numFmtId="2" fontId="83" fillId="34" borderId="0" xfId="0" applyNumberFormat="1" applyFont="1" applyFill="1" applyBorder="1" applyAlignment="1">
      <alignment horizontal="center" vertical="top" wrapText="1"/>
    </xf>
    <xf numFmtId="184" fontId="82" fillId="36" borderId="0" xfId="0" applyNumberFormat="1" applyFont="1" applyFill="1" applyBorder="1" applyAlignment="1">
      <alignment horizontal="right" vertical="top" wrapText="1"/>
    </xf>
    <xf numFmtId="0" fontId="82" fillId="34" borderId="0" xfId="0" applyFont="1" applyFill="1" applyBorder="1" applyAlignment="1">
      <alignment vertical="top" wrapText="1"/>
    </xf>
    <xf numFmtId="2" fontId="82" fillId="34" borderId="0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 horizontal="justify"/>
    </xf>
    <xf numFmtId="0" fontId="79" fillId="34" borderId="0" xfId="0" applyFont="1" applyFill="1" applyBorder="1" applyAlignment="1">
      <alignment horizontal="right"/>
    </xf>
    <xf numFmtId="2" fontId="79" fillId="34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vertical="center" wrapText="1"/>
    </xf>
    <xf numFmtId="172" fontId="8" fillId="0" borderId="0" xfId="51" applyNumberFormat="1" applyFont="1" applyFill="1" applyBorder="1" applyAlignment="1">
      <alignment vertical="center" wrapText="1"/>
      <protection/>
    </xf>
    <xf numFmtId="172" fontId="12" fillId="0" borderId="0" xfId="51" applyNumberFormat="1" applyFont="1" applyFill="1" applyBorder="1" applyAlignment="1">
      <alignment vertical="center" wrapText="1"/>
      <protection/>
    </xf>
    <xf numFmtId="4" fontId="3" fillId="0" borderId="0" xfId="51" applyNumberFormat="1" applyFont="1" applyFill="1" applyBorder="1" applyAlignment="1">
      <alignment horizontal="right" vertical="center" wrapText="1"/>
      <protection/>
    </xf>
    <xf numFmtId="4" fontId="3" fillId="0" borderId="0" xfId="51" applyNumberFormat="1" applyFont="1" applyFill="1" applyBorder="1" applyAlignment="1">
      <alignment horizontal="center" vertical="center" wrapText="1"/>
      <protection/>
    </xf>
    <xf numFmtId="10" fontId="3" fillId="0" borderId="0" xfId="51" applyNumberFormat="1" applyFont="1" applyFill="1" applyBorder="1" applyAlignment="1">
      <alignment horizontal="center" vertical="center" wrapText="1"/>
      <protection/>
    </xf>
    <xf numFmtId="172" fontId="12" fillId="37" borderId="0" xfId="51" applyNumberFormat="1" applyFont="1" applyFill="1" applyBorder="1" applyAlignment="1">
      <alignment vertical="center" wrapText="1"/>
      <protection/>
    </xf>
    <xf numFmtId="2" fontId="0" fillId="34" borderId="0" xfId="0" applyNumberFormat="1" applyFill="1" applyBorder="1" applyAlignment="1">
      <alignment/>
    </xf>
    <xf numFmtId="2" fontId="0" fillId="34" borderId="0" xfId="0" applyNumberFormat="1" applyFill="1" applyBorder="1" applyAlignment="1">
      <alignment horizontal="left"/>
    </xf>
    <xf numFmtId="0" fontId="0" fillId="34" borderId="0" xfId="0" applyFill="1" applyBorder="1" applyAlignment="1">
      <alignment horizontal="right"/>
    </xf>
    <xf numFmtId="0" fontId="0" fillId="35" borderId="22" xfId="0" applyFill="1" applyBorder="1" applyAlignment="1">
      <alignment/>
    </xf>
    <xf numFmtId="2" fontId="79" fillId="35" borderId="23" xfId="0" applyNumberFormat="1" applyFont="1" applyFill="1" applyBorder="1" applyAlignment="1">
      <alignment horizontal="right"/>
    </xf>
    <xf numFmtId="2" fontId="79" fillId="35" borderId="23" xfId="0" applyNumberFormat="1" applyFont="1" applyFill="1" applyBorder="1" applyAlignment="1">
      <alignment horizontal="left"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172" fontId="3" fillId="0" borderId="0" xfId="51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78" fillId="0" borderId="25" xfId="0" applyFont="1" applyBorder="1" applyAlignment="1">
      <alignment/>
    </xf>
    <xf numFmtId="0" fontId="78" fillId="0" borderId="0" xfId="0" applyFont="1" applyBorder="1" applyAlignment="1">
      <alignment/>
    </xf>
    <xf numFmtId="0" fontId="78" fillId="0" borderId="26" xfId="0" applyFont="1" applyBorder="1" applyAlignment="1">
      <alignment/>
    </xf>
    <xf numFmtId="43" fontId="0" fillId="0" borderId="0" xfId="0" applyNumberFormat="1" applyAlignment="1">
      <alignment/>
    </xf>
    <xf numFmtId="0" fontId="81" fillId="0" borderId="0" xfId="0" applyFont="1" applyFill="1" applyBorder="1" applyAlignment="1">
      <alignment horizontal="center" vertical="center" wrapText="1"/>
    </xf>
    <xf numFmtId="2" fontId="81" fillId="0" borderId="0" xfId="0" applyNumberFormat="1" applyFont="1" applyBorder="1" applyAlignment="1">
      <alignment horizontal="left" vertical="center" wrapText="1"/>
    </xf>
    <xf numFmtId="0" fontId="81" fillId="0" borderId="11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left" wrapText="1"/>
    </xf>
    <xf numFmtId="0" fontId="2" fillId="34" borderId="0" xfId="299" applyNumberFormat="1" applyFont="1" applyFill="1" applyBorder="1" applyAlignment="1">
      <alignment horizontal="left" vertical="top" wrapText="1"/>
      <protection/>
    </xf>
    <xf numFmtId="171" fontId="21" fillId="0" borderId="0" xfId="308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NumberFormat="1" applyFont="1" applyAlignment="1">
      <alignment horizontal="center" vertical="center" wrapText="1"/>
    </xf>
    <xf numFmtId="4" fontId="23" fillId="0" borderId="0" xfId="0" applyNumberFormat="1" applyFont="1" applyAlignment="1">
      <alignment horizontal="right" vertical="center" wrapText="1"/>
    </xf>
    <xf numFmtId="4" fontId="23" fillId="34" borderId="0" xfId="0" applyNumberFormat="1" applyFont="1" applyFill="1" applyAlignment="1">
      <alignment horizontal="right" vertical="center" wrapText="1"/>
    </xf>
    <xf numFmtId="4" fontId="23" fillId="0" borderId="0" xfId="0" applyNumberFormat="1" applyFont="1" applyAlignment="1">
      <alignment horizontal="center" vertical="center" wrapText="1"/>
    </xf>
    <xf numFmtId="10" fontId="23" fillId="0" borderId="0" xfId="0" applyNumberFormat="1" applyFont="1" applyAlignment="1">
      <alignment horizontal="center" vertical="center" wrapText="1"/>
    </xf>
    <xf numFmtId="0" fontId="23" fillId="34" borderId="21" xfId="0" applyNumberFormat="1" applyFont="1" applyFill="1" applyBorder="1" applyAlignment="1" quotePrefix="1">
      <alignment horizontal="center" vertical="center" wrapText="1"/>
    </xf>
    <xf numFmtId="0" fontId="8" fillId="34" borderId="21" xfId="443" applyNumberFormat="1" applyFont="1" applyFill="1" applyBorder="1" applyAlignment="1">
      <alignment horizontal="center" vertical="center" wrapText="1"/>
    </xf>
    <xf numFmtId="4" fontId="23" fillId="34" borderId="27" xfId="0" applyNumberFormat="1" applyFont="1" applyFill="1" applyBorder="1" applyAlignment="1">
      <alignment horizontal="right" vertical="center"/>
    </xf>
    <xf numFmtId="0" fontId="23" fillId="34" borderId="21" xfId="0" applyNumberFormat="1" applyFont="1" applyFill="1" applyBorder="1" applyAlignment="1">
      <alignment horizontal="center" vertical="center" wrapText="1"/>
    </xf>
    <xf numFmtId="4" fontId="23" fillId="34" borderId="21" xfId="0" applyNumberFormat="1" applyFont="1" applyFill="1" applyBorder="1" applyAlignment="1">
      <alignment horizontal="right" vertical="center"/>
    </xf>
    <xf numFmtId="4" fontId="8" fillId="34" borderId="21" xfId="443" applyNumberFormat="1" applyFont="1" applyFill="1" applyBorder="1" applyAlignment="1">
      <alignment horizontal="right" vertical="center"/>
    </xf>
    <xf numFmtId="4" fontId="23" fillId="34" borderId="17" xfId="0" applyNumberFormat="1" applyFont="1" applyFill="1" applyBorder="1" applyAlignment="1">
      <alignment horizontal="center" vertical="center"/>
    </xf>
    <xf numFmtId="10" fontId="22" fillId="34" borderId="21" xfId="0" applyNumberFormat="1" applyFont="1" applyFill="1" applyBorder="1" applyAlignment="1">
      <alignment horizontal="center" vertical="center"/>
    </xf>
    <xf numFmtId="0" fontId="23" fillId="34" borderId="21" xfId="0" applyNumberFormat="1" applyFont="1" applyFill="1" applyBorder="1" applyAlignment="1">
      <alignment horizontal="left" vertical="center" wrapText="1"/>
    </xf>
    <xf numFmtId="4" fontId="22" fillId="34" borderId="21" xfId="0" applyNumberFormat="1" applyFont="1" applyFill="1" applyBorder="1" applyAlignment="1">
      <alignment horizontal="center" vertical="center"/>
    </xf>
    <xf numFmtId="4" fontId="8" fillId="34" borderId="21" xfId="0" applyNumberFormat="1" applyFont="1" applyFill="1" applyBorder="1" applyAlignment="1">
      <alignment vertical="center"/>
    </xf>
    <xf numFmtId="4" fontId="23" fillId="34" borderId="21" xfId="0" applyNumberFormat="1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/>
    </xf>
    <xf numFmtId="171" fontId="8" fillId="34" borderId="21" xfId="443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vertical="center"/>
    </xf>
    <xf numFmtId="0" fontId="23" fillId="0" borderId="21" xfId="0" applyNumberFormat="1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 quotePrefix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171" fontId="8" fillId="0" borderId="21" xfId="443" applyFont="1" applyFill="1" applyBorder="1" applyAlignment="1">
      <alignment horizontal="center" vertical="center"/>
    </xf>
    <xf numFmtId="171" fontId="8" fillId="0" borderId="21" xfId="0" applyNumberFormat="1" applyFont="1" applyFill="1" applyBorder="1" applyAlignment="1">
      <alignment vertical="center"/>
    </xf>
    <xf numFmtId="43" fontId="14" fillId="0" borderId="21" xfId="443" applyNumberFormat="1" applyFont="1" applyFill="1" applyBorder="1" applyAlignment="1">
      <alignment horizontal="left" vertical="center"/>
    </xf>
    <xf numFmtId="10" fontId="14" fillId="0" borderId="21" xfId="0" applyNumberFormat="1" applyFont="1" applyFill="1" applyBorder="1" applyAlignment="1">
      <alignment vertical="center"/>
    </xf>
    <xf numFmtId="0" fontId="23" fillId="34" borderId="15" xfId="0" applyNumberFormat="1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 quotePrefix="1">
      <alignment horizontal="center" vertical="center" wrapText="1"/>
    </xf>
    <xf numFmtId="4" fontId="8" fillId="34" borderId="21" xfId="0" applyNumberFormat="1" applyFont="1" applyFill="1" applyBorder="1" applyAlignment="1">
      <alignment horizontal="right" vertical="center"/>
    </xf>
    <xf numFmtId="4" fontId="22" fillId="34" borderId="17" xfId="0" applyNumberFormat="1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vertical="center" wrapText="1"/>
    </xf>
    <xf numFmtId="0" fontId="8" fillId="34" borderId="27" xfId="0" applyFont="1" applyFill="1" applyBorder="1" applyAlignment="1">
      <alignment horizontal="center" vertical="center" wrapText="1"/>
    </xf>
    <xf numFmtId="4" fontId="8" fillId="34" borderId="27" xfId="443" applyNumberFormat="1" applyFont="1" applyFill="1" applyBorder="1" applyAlignment="1">
      <alignment horizontal="right" vertical="center"/>
    </xf>
    <xf numFmtId="0" fontId="8" fillId="0" borderId="21" xfId="0" applyFont="1" applyFill="1" applyBorder="1" applyAlignment="1">
      <alignment vertical="center" wrapText="1"/>
    </xf>
    <xf numFmtId="4" fontId="8" fillId="0" borderId="21" xfId="443" applyNumberFormat="1" applyFont="1" applyFill="1" applyBorder="1" applyAlignment="1">
      <alignment horizontal="right" vertical="center"/>
    </xf>
    <xf numFmtId="4" fontId="8" fillId="0" borderId="21" xfId="0" applyNumberFormat="1" applyFont="1" applyFill="1" applyBorder="1" applyAlignment="1">
      <alignment horizontal="right" vertical="center"/>
    </xf>
    <xf numFmtId="4" fontId="23" fillId="0" borderId="21" xfId="0" applyNumberFormat="1" applyFont="1" applyFill="1" applyBorder="1" applyAlignment="1">
      <alignment horizontal="center" vertical="center"/>
    </xf>
    <xf numFmtId="10" fontId="22" fillId="0" borderId="21" xfId="0" applyNumberFormat="1" applyFont="1" applyFill="1" applyBorder="1" applyAlignment="1">
      <alignment horizontal="center" vertical="center"/>
    </xf>
    <xf numFmtId="4" fontId="23" fillId="0" borderId="21" xfId="0" applyNumberFormat="1" applyFont="1" applyFill="1" applyBorder="1" applyAlignment="1">
      <alignment horizontal="right" vertical="center"/>
    </xf>
    <xf numFmtId="0" fontId="23" fillId="34" borderId="27" xfId="0" applyNumberFormat="1" applyFont="1" applyFill="1" applyBorder="1" applyAlignment="1" quotePrefix="1">
      <alignment horizontal="center" vertical="center" wrapText="1"/>
    </xf>
    <xf numFmtId="0" fontId="23" fillId="34" borderId="27" xfId="0" applyNumberFormat="1" applyFont="1" applyFill="1" applyBorder="1" applyAlignment="1">
      <alignment horizontal="center" vertical="center" wrapText="1"/>
    </xf>
    <xf numFmtId="0" fontId="8" fillId="34" borderId="21" xfId="433" applyNumberFormat="1" applyFont="1" applyFill="1" applyBorder="1" applyAlignment="1">
      <alignment horizontal="left" vertical="center" wrapText="1"/>
    </xf>
    <xf numFmtId="0" fontId="8" fillId="0" borderId="21" xfId="433" applyNumberFormat="1" applyFont="1" applyFill="1" applyBorder="1" applyAlignment="1">
      <alignment horizontal="center" vertical="center" wrapText="1"/>
    </xf>
    <xf numFmtId="0" fontId="8" fillId="34" borderId="21" xfId="433" applyNumberFormat="1" applyFont="1" applyFill="1" applyBorder="1" applyAlignment="1">
      <alignment horizontal="center" vertical="center" wrapText="1"/>
    </xf>
    <xf numFmtId="171" fontId="8" fillId="34" borderId="21" xfId="443" applyFont="1" applyFill="1" applyBorder="1" applyAlignment="1">
      <alignment vertical="center"/>
    </xf>
    <xf numFmtId="0" fontId="8" fillId="34" borderId="21" xfId="443" applyNumberFormat="1" applyFont="1" applyFill="1" applyBorder="1" applyAlignment="1">
      <alignment horizontal="left" vertical="center" wrapText="1"/>
    </xf>
    <xf numFmtId="4" fontId="22" fillId="0" borderId="2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443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right" vertical="center"/>
    </xf>
    <xf numFmtId="4" fontId="8" fillId="34" borderId="11" xfId="443" applyNumberFormat="1" applyFont="1" applyFill="1" applyBorder="1" applyAlignment="1">
      <alignment horizontal="right" vertical="center"/>
    </xf>
    <xf numFmtId="4" fontId="8" fillId="0" borderId="11" xfId="443" applyNumberFormat="1" applyFont="1" applyFill="1" applyBorder="1" applyAlignment="1">
      <alignment horizontal="right" vertical="center"/>
    </xf>
    <xf numFmtId="4" fontId="8" fillId="0" borderId="16" xfId="443" applyNumberFormat="1" applyFont="1" applyFill="1" applyBorder="1" applyAlignment="1">
      <alignment horizontal="center" vertical="center"/>
    </xf>
    <xf numFmtId="10" fontId="8" fillId="0" borderId="16" xfId="0" applyNumberFormat="1" applyFont="1" applyFill="1" applyBorder="1" applyAlignment="1">
      <alignment horizontal="center" vertical="center"/>
    </xf>
    <xf numFmtId="0" fontId="14" fillId="34" borderId="0" xfId="0" applyNumberFormat="1" applyFont="1" applyFill="1" applyBorder="1" applyAlignment="1">
      <alignment horizontal="left" vertical="center"/>
    </xf>
    <xf numFmtId="0" fontId="8" fillId="34" borderId="0" xfId="0" applyFont="1" applyFill="1" applyBorder="1" applyAlignment="1">
      <alignment vertical="center" wrapText="1"/>
    </xf>
    <xf numFmtId="0" fontId="8" fillId="34" borderId="0" xfId="0" applyFont="1" applyFill="1" applyBorder="1" applyAlignment="1">
      <alignment horizontal="center" vertical="center"/>
    </xf>
    <xf numFmtId="4" fontId="8" fillId="34" borderId="0" xfId="0" applyNumberFormat="1" applyFont="1" applyFill="1" applyBorder="1" applyAlignment="1">
      <alignment horizontal="right" vertical="center"/>
    </xf>
    <xf numFmtId="4" fontId="8" fillId="34" borderId="0" xfId="443" applyNumberFormat="1" applyFont="1" applyFill="1" applyBorder="1" applyAlignment="1">
      <alignment horizontal="right" vertical="center"/>
    </xf>
    <xf numFmtId="4" fontId="14" fillId="34" borderId="0" xfId="443" applyNumberFormat="1" applyFont="1" applyFill="1" applyBorder="1" applyAlignment="1">
      <alignment horizontal="right" vertical="center"/>
    </xf>
    <xf numFmtId="10" fontId="14" fillId="34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vertical="center" wrapText="1"/>
    </xf>
    <xf numFmtId="4" fontId="23" fillId="0" borderId="0" xfId="0" applyNumberFormat="1" applyFont="1" applyBorder="1" applyAlignment="1">
      <alignment horizontal="right" vertical="center" wrapText="1"/>
    </xf>
    <xf numFmtId="4" fontId="23" fillId="34" borderId="0" xfId="0" applyNumberFormat="1" applyFont="1" applyFill="1" applyBorder="1" applyAlignment="1">
      <alignment horizontal="right" vertical="center" wrapText="1"/>
    </xf>
    <xf numFmtId="4" fontId="22" fillId="0" borderId="0" xfId="0" applyNumberFormat="1" applyFont="1" applyBorder="1" applyAlignment="1">
      <alignment horizontal="right" vertical="center" wrapText="1"/>
    </xf>
    <xf numFmtId="4" fontId="22" fillId="0" borderId="0" xfId="0" applyNumberFormat="1" applyFont="1" applyBorder="1" applyAlignment="1">
      <alignment horizontal="center" vertical="center" wrapText="1"/>
    </xf>
    <xf numFmtId="10" fontId="22" fillId="0" borderId="0" xfId="0" applyNumberFormat="1" applyFont="1" applyBorder="1" applyAlignment="1">
      <alignment horizontal="center" vertical="center" wrapText="1"/>
    </xf>
    <xf numFmtId="0" fontId="6" fillId="34" borderId="0" xfId="194" applyFont="1" applyFill="1" applyAlignment="1">
      <alignment vertical="center"/>
      <protection/>
    </xf>
    <xf numFmtId="0" fontId="81" fillId="0" borderId="14" xfId="0" applyFont="1" applyFill="1" applyBorder="1" applyAlignment="1">
      <alignment wrapText="1"/>
    </xf>
    <xf numFmtId="171" fontId="21" fillId="0" borderId="19" xfId="308" applyFont="1" applyFill="1" applyBorder="1" applyAlignment="1">
      <alignment horizontal="center" vertical="center"/>
    </xf>
    <xf numFmtId="2" fontId="81" fillId="0" borderId="14" xfId="0" applyNumberFormat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left" vertical="center" wrapText="1"/>
    </xf>
    <xf numFmtId="0" fontId="23" fillId="0" borderId="13" xfId="0" applyNumberFormat="1" applyFont="1" applyFill="1" applyBorder="1" applyAlignment="1">
      <alignment horizontal="left" vertical="center" wrapText="1"/>
    </xf>
    <xf numFmtId="0" fontId="23" fillId="0" borderId="27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 quotePrefix="1">
      <alignment horizontal="center" vertical="center" wrapText="1"/>
    </xf>
    <xf numFmtId="0" fontId="81" fillId="0" borderId="11" xfId="0" applyFont="1" applyFill="1" applyBorder="1" applyAlignment="1">
      <alignment horizontal="center" vertical="center" wrapText="1"/>
    </xf>
    <xf numFmtId="0" fontId="81" fillId="0" borderId="14" xfId="0" applyFont="1" applyFill="1" applyBorder="1" applyAlignment="1">
      <alignment horizontal="center" vertical="center" wrapText="1"/>
    </xf>
    <xf numFmtId="2" fontId="80" fillId="0" borderId="19" xfId="0" applyNumberFormat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 wrapText="1"/>
    </xf>
    <xf numFmtId="171" fontId="81" fillId="0" borderId="0" xfId="308" applyFont="1" applyFill="1" applyBorder="1" applyAlignment="1">
      <alignment horizontal="center" vertical="center"/>
    </xf>
    <xf numFmtId="171" fontId="81" fillId="0" borderId="0" xfId="308" applyFont="1" applyFill="1" applyBorder="1" applyAlignment="1">
      <alignment horizontal="center" vertical="center" wrapText="1"/>
    </xf>
    <xf numFmtId="171" fontId="81" fillId="0" borderId="19" xfId="308" applyFont="1" applyFill="1" applyBorder="1" applyAlignment="1">
      <alignment vertical="center"/>
    </xf>
    <xf numFmtId="0" fontId="81" fillId="0" borderId="11" xfId="0" applyFont="1" applyFill="1" applyBorder="1" applyAlignment="1">
      <alignment wrapText="1"/>
    </xf>
    <xf numFmtId="0" fontId="81" fillId="0" borderId="14" xfId="0" applyFont="1" applyFill="1" applyBorder="1" applyAlignment="1">
      <alignment vertical="center" wrapText="1"/>
    </xf>
    <xf numFmtId="2" fontId="80" fillId="0" borderId="20" xfId="0" applyNumberFormat="1" applyFont="1" applyFill="1" applyBorder="1" applyAlignment="1">
      <alignment horizontal="center" vertical="center"/>
    </xf>
    <xf numFmtId="0" fontId="81" fillId="0" borderId="19" xfId="0" applyFont="1" applyBorder="1" applyAlignment="1">
      <alignment horizontal="center"/>
    </xf>
    <xf numFmtId="0" fontId="0" fillId="0" borderId="14" xfId="0" applyBorder="1" applyAlignment="1">
      <alignment/>
    </xf>
    <xf numFmtId="171" fontId="20" fillId="0" borderId="10" xfId="308" applyFont="1" applyFill="1" applyBorder="1" applyAlignment="1">
      <alignment horizontal="left" vertical="center" wrapText="1"/>
    </xf>
    <xf numFmtId="4" fontId="8" fillId="34" borderId="21" xfId="0" applyNumberFormat="1" applyFont="1" applyFill="1" applyBorder="1" applyAlignment="1">
      <alignment horizontal="right" vertical="center" wrapText="1"/>
    </xf>
    <xf numFmtId="171" fontId="20" fillId="0" borderId="12" xfId="308" applyFont="1" applyFill="1" applyBorder="1" applyAlignment="1">
      <alignment horizontal="left" vertical="center" wrapText="1"/>
    </xf>
    <xf numFmtId="0" fontId="78" fillId="0" borderId="12" xfId="0" applyFont="1" applyBorder="1" applyAlignment="1">
      <alignment horizontal="center" vertical="center"/>
    </xf>
    <xf numFmtId="0" fontId="78" fillId="0" borderId="19" xfId="0" applyFont="1" applyBorder="1" applyAlignment="1">
      <alignment/>
    </xf>
    <xf numFmtId="0" fontId="6" fillId="33" borderId="0" xfId="0" applyFont="1" applyFill="1" applyAlignment="1">
      <alignment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vertical="center" wrapText="1"/>
    </xf>
    <xf numFmtId="172" fontId="3" fillId="0" borderId="17" xfId="52" applyNumberFormat="1" applyFont="1" applyFill="1" applyBorder="1" applyAlignment="1">
      <alignment vertical="center" wrapText="1"/>
      <protection/>
    </xf>
    <xf numFmtId="172" fontId="3" fillId="34" borderId="0" xfId="52" applyNumberFormat="1" applyFont="1" applyFill="1" applyBorder="1" applyAlignment="1">
      <alignment horizontal="left" vertical="center" wrapText="1"/>
      <protection/>
    </xf>
    <xf numFmtId="172" fontId="14" fillId="34" borderId="0" xfId="52" applyNumberFormat="1" applyFont="1" applyFill="1" applyBorder="1" applyAlignment="1">
      <alignment horizontal="left" vertical="center" wrapText="1"/>
      <protection/>
    </xf>
    <xf numFmtId="172" fontId="3" fillId="0" borderId="11" xfId="52" applyNumberFormat="1" applyFont="1" applyFill="1" applyBorder="1" applyAlignment="1">
      <alignment vertical="center" wrapText="1"/>
      <protection/>
    </xf>
    <xf numFmtId="172" fontId="3" fillId="34" borderId="11" xfId="52" applyNumberFormat="1" applyFont="1" applyFill="1" applyBorder="1" applyAlignment="1">
      <alignment vertical="center" wrapText="1"/>
      <protection/>
    </xf>
    <xf numFmtId="0" fontId="6" fillId="34" borderId="0" xfId="0" applyFont="1" applyFill="1" applyAlignment="1">
      <alignment vertical="center" wrapText="1"/>
    </xf>
    <xf numFmtId="0" fontId="16" fillId="0" borderId="11" xfId="52" applyNumberFormat="1" applyFont="1" applyFill="1" applyBorder="1" applyAlignment="1">
      <alignment vertical="center" wrapText="1"/>
      <protection/>
    </xf>
    <xf numFmtId="2" fontId="85" fillId="38" borderId="0" xfId="0" applyNumberFormat="1" applyFont="1" applyFill="1" applyBorder="1" applyAlignment="1">
      <alignment vertical="center" wrapText="1"/>
    </xf>
    <xf numFmtId="0" fontId="85" fillId="38" borderId="0" xfId="0" applyFont="1" applyFill="1" applyBorder="1" applyAlignment="1">
      <alignment vertical="center" wrapText="1"/>
    </xf>
    <xf numFmtId="0" fontId="85" fillId="38" borderId="0" xfId="0" applyFont="1" applyFill="1" applyBorder="1" applyAlignment="1">
      <alignment horizontal="right" vertical="center"/>
    </xf>
    <xf numFmtId="0" fontId="85" fillId="38" borderId="19" xfId="0" applyFont="1" applyFill="1" applyBorder="1" applyAlignment="1">
      <alignment horizontal="center" vertical="center"/>
    </xf>
    <xf numFmtId="0" fontId="86" fillId="39" borderId="12" xfId="0" applyFont="1" applyFill="1" applyBorder="1" applyAlignment="1">
      <alignment horizontal="center" vertical="center" wrapText="1"/>
    </xf>
    <xf numFmtId="0" fontId="86" fillId="39" borderId="0" xfId="0" applyFont="1" applyFill="1" applyBorder="1" applyAlignment="1">
      <alignment horizontal="center" vertical="center" wrapText="1"/>
    </xf>
    <xf numFmtId="0" fontId="86" fillId="39" borderId="19" xfId="0" applyFont="1" applyFill="1" applyBorder="1" applyAlignment="1">
      <alignment horizontal="center" vertical="center" wrapText="1"/>
    </xf>
    <xf numFmtId="2" fontId="87" fillId="0" borderId="0" xfId="0" applyNumberFormat="1" applyFont="1" applyBorder="1" applyAlignment="1">
      <alignment horizontal="right" vertical="center" wrapText="1"/>
    </xf>
    <xf numFmtId="2" fontId="87" fillId="0" borderId="19" xfId="0" applyNumberFormat="1" applyFont="1" applyBorder="1" applyAlignment="1">
      <alignment horizontal="right" vertical="center" wrapText="1"/>
    </xf>
    <xf numFmtId="2" fontId="85" fillId="0" borderId="19" xfId="0" applyNumberFormat="1" applyFont="1" applyBorder="1" applyAlignment="1">
      <alignment horizontal="right" vertical="center" wrapText="1"/>
    </xf>
    <xf numFmtId="2" fontId="87" fillId="38" borderId="19" xfId="0" applyNumberFormat="1" applyFont="1" applyFill="1" applyBorder="1" applyAlignment="1">
      <alignment horizontal="right" vertical="center" wrapText="1"/>
    </xf>
    <xf numFmtId="2" fontId="85" fillId="38" borderId="20" xfId="0" applyNumberFormat="1" applyFont="1" applyFill="1" applyBorder="1" applyAlignment="1">
      <alignment horizontal="right" vertical="center" wrapText="1"/>
    </xf>
    <xf numFmtId="0" fontId="6" fillId="34" borderId="0" xfId="0" applyFont="1" applyFill="1" applyAlignment="1">
      <alignment horizontal="center" vertical="center" wrapText="1"/>
    </xf>
    <xf numFmtId="0" fontId="6" fillId="34" borderId="0" xfId="0" applyNumberFormat="1" applyFont="1" applyFill="1" applyAlignment="1">
      <alignment horizontal="center" vertical="center" wrapText="1"/>
    </xf>
    <xf numFmtId="43" fontId="6" fillId="34" borderId="0" xfId="0" applyNumberFormat="1" applyFont="1" applyFill="1" applyAlignment="1">
      <alignment horizontal="center" vertical="center" wrapText="1"/>
    </xf>
    <xf numFmtId="171" fontId="6" fillId="34" borderId="0" xfId="444" applyFont="1" applyFill="1" applyAlignment="1">
      <alignment vertical="center" wrapText="1"/>
    </xf>
    <xf numFmtId="0" fontId="6" fillId="40" borderId="0" xfId="0" applyFont="1" applyFill="1" applyAlignment="1">
      <alignment horizontal="center" vertical="center" wrapText="1"/>
    </xf>
    <xf numFmtId="43" fontId="6" fillId="36" borderId="0" xfId="0" applyNumberFormat="1" applyFont="1" applyFill="1" applyAlignment="1">
      <alignment horizontal="center" vertical="center" wrapText="1"/>
    </xf>
    <xf numFmtId="0" fontId="2" fillId="34" borderId="0" xfId="299" applyNumberFormat="1" applyFont="1" applyFill="1" applyBorder="1" applyAlignment="1">
      <alignment horizontal="left" vertical="top" wrapText="1"/>
      <protection/>
    </xf>
    <xf numFmtId="0" fontId="8" fillId="34" borderId="21" xfId="443" applyNumberFormat="1" applyFont="1" applyFill="1" applyBorder="1" applyAlignment="1">
      <alignment vertical="center" wrapText="1"/>
    </xf>
    <xf numFmtId="4" fontId="8" fillId="34" borderId="21" xfId="432" applyNumberFormat="1" applyFont="1" applyFill="1" applyBorder="1" applyAlignment="1">
      <alignment horizontal="center" vertical="center"/>
    </xf>
    <xf numFmtId="0" fontId="8" fillId="34" borderId="21" xfId="444" applyNumberFormat="1" applyFont="1" applyFill="1" applyBorder="1" applyAlignment="1">
      <alignment vertical="center" wrapText="1"/>
    </xf>
    <xf numFmtId="9" fontId="0" fillId="0" borderId="0" xfId="301" applyFont="1" applyAlignment="1">
      <alignment/>
    </xf>
    <xf numFmtId="0" fontId="0" fillId="0" borderId="0" xfId="227" applyFont="1">
      <alignment/>
      <protection/>
    </xf>
    <xf numFmtId="0" fontId="0" fillId="0" borderId="28" xfId="227" applyFont="1" applyBorder="1" applyAlignment="1">
      <alignment horizontal="center"/>
      <protection/>
    </xf>
    <xf numFmtId="2" fontId="0" fillId="0" borderId="21" xfId="227" applyNumberFormat="1" applyFont="1" applyBorder="1" applyAlignment="1">
      <alignment horizontal="center"/>
      <protection/>
    </xf>
    <xf numFmtId="2" fontId="0" fillId="0" borderId="29" xfId="227" applyNumberFormat="1" applyFont="1" applyBorder="1" applyAlignment="1">
      <alignment horizontal="center"/>
      <protection/>
    </xf>
    <xf numFmtId="0" fontId="0" fillId="0" borderId="30" xfId="227" applyFont="1" applyBorder="1" applyAlignment="1">
      <alignment horizontal="center"/>
      <protection/>
    </xf>
    <xf numFmtId="2" fontId="0" fillId="0" borderId="31" xfId="227" applyNumberFormat="1" applyFont="1" applyBorder="1" applyAlignment="1">
      <alignment horizontal="center"/>
      <protection/>
    </xf>
    <xf numFmtId="2" fontId="0" fillId="0" borderId="32" xfId="227" applyNumberFormat="1" applyFont="1" applyBorder="1" applyAlignment="1">
      <alignment horizontal="center"/>
      <protection/>
    </xf>
    <xf numFmtId="0" fontId="77" fillId="0" borderId="33" xfId="227" applyFont="1" applyBorder="1" applyAlignment="1">
      <alignment horizontal="center"/>
      <protection/>
    </xf>
    <xf numFmtId="2" fontId="77" fillId="0" borderId="34" xfId="227" applyNumberFormat="1" applyFont="1" applyBorder="1" applyAlignment="1">
      <alignment horizontal="center"/>
      <protection/>
    </xf>
    <xf numFmtId="2" fontId="77" fillId="0" borderId="35" xfId="227" applyNumberFormat="1" applyFont="1" applyBorder="1" applyAlignment="1">
      <alignment horizontal="center"/>
      <protection/>
    </xf>
    <xf numFmtId="2" fontId="0" fillId="0" borderId="21" xfId="227" applyNumberFormat="1" applyFont="1" applyBorder="1" applyAlignment="1">
      <alignment horizontal="center" vertical="center"/>
      <protection/>
    </xf>
    <xf numFmtId="2" fontId="0" fillId="0" borderId="29" xfId="227" applyNumberFormat="1" applyFont="1" applyBorder="1" applyAlignment="1">
      <alignment horizontal="center" vertical="center"/>
      <protection/>
    </xf>
    <xf numFmtId="0" fontId="77" fillId="0" borderId="36" xfId="227" applyFont="1" applyBorder="1" applyAlignment="1">
      <alignment horizontal="center"/>
      <protection/>
    </xf>
    <xf numFmtId="2" fontId="77" fillId="0" borderId="37" xfId="227" applyNumberFormat="1" applyFont="1" applyBorder="1" applyAlignment="1">
      <alignment horizontal="center"/>
      <protection/>
    </xf>
    <xf numFmtId="2" fontId="77" fillId="0" borderId="38" xfId="227" applyNumberFormat="1" applyFont="1" applyBorder="1" applyAlignment="1">
      <alignment horizontal="center"/>
      <protection/>
    </xf>
    <xf numFmtId="0" fontId="53" fillId="0" borderId="14" xfId="227" applyFont="1" applyFill="1" applyBorder="1" applyAlignment="1">
      <alignment horizontal="center" vertical="center"/>
      <protection/>
    </xf>
    <xf numFmtId="0" fontId="87" fillId="0" borderId="12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182" fontId="87" fillId="0" borderId="0" xfId="0" applyNumberFormat="1" applyFont="1" applyBorder="1" applyAlignment="1">
      <alignment horizontal="right" vertical="center" wrapText="1"/>
    </xf>
    <xf numFmtId="0" fontId="8" fillId="34" borderId="27" xfId="433" applyNumberFormat="1" applyFont="1" applyFill="1" applyBorder="1" applyAlignment="1">
      <alignment horizontal="center" vertical="center" wrapText="1"/>
    </xf>
    <xf numFmtId="0" fontId="8" fillId="34" borderId="13" xfId="444" applyNumberFormat="1" applyFont="1" applyFill="1" applyBorder="1" applyAlignment="1">
      <alignment vertical="center" wrapText="1"/>
    </xf>
    <xf numFmtId="0" fontId="8" fillId="34" borderId="13" xfId="443" applyNumberFormat="1" applyFont="1" applyFill="1" applyBorder="1" applyAlignment="1">
      <alignment horizontal="center" vertical="center" wrapText="1"/>
    </xf>
    <xf numFmtId="4" fontId="8" fillId="34" borderId="21" xfId="443" applyNumberFormat="1" applyFont="1" applyFill="1" applyBorder="1" applyAlignment="1">
      <alignment horizontal="right" vertical="center" wrapText="1"/>
    </xf>
    <xf numFmtId="4" fontId="8" fillId="34" borderId="21" xfId="0" applyNumberFormat="1" applyFont="1" applyFill="1" applyBorder="1" applyAlignment="1">
      <alignment vertical="center" wrapText="1"/>
    </xf>
    <xf numFmtId="4" fontId="8" fillId="34" borderId="21" xfId="443" applyNumberFormat="1" applyFont="1" applyFill="1" applyBorder="1" applyAlignment="1">
      <alignment horizontal="center" vertical="center"/>
    </xf>
    <xf numFmtId="171" fontId="8" fillId="0" borderId="21" xfId="0" applyNumberFormat="1" applyFont="1" applyFill="1" applyBorder="1" applyAlignment="1">
      <alignment vertical="center" wrapText="1"/>
    </xf>
    <xf numFmtId="4" fontId="8" fillId="34" borderId="27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3" fillId="0" borderId="21" xfId="0" applyNumberFormat="1" applyFont="1" applyFill="1" applyBorder="1" applyAlignment="1" quotePrefix="1">
      <alignment horizontal="center" vertical="center" wrapText="1"/>
    </xf>
    <xf numFmtId="0" fontId="23" fillId="0" borderId="21" xfId="0" applyNumberFormat="1" applyFont="1" applyFill="1" applyBorder="1" applyAlignment="1">
      <alignment horizontal="left" vertical="center" wrapText="1"/>
    </xf>
    <xf numFmtId="0" fontId="8" fillId="0" borderId="21" xfId="443" applyNumberFormat="1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vertical="center"/>
    </xf>
    <xf numFmtId="4" fontId="23" fillId="0" borderId="27" xfId="0" applyNumberFormat="1" applyFont="1" applyFill="1" applyBorder="1" applyAlignment="1">
      <alignment horizontal="right" vertical="center"/>
    </xf>
    <xf numFmtId="4" fontId="8" fillId="0" borderId="21" xfId="432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left" vertical="center"/>
    </xf>
    <xf numFmtId="2" fontId="8" fillId="0" borderId="21" xfId="0" applyNumberFormat="1" applyFont="1" applyFill="1" applyBorder="1" applyAlignment="1">
      <alignment vertical="center"/>
    </xf>
    <xf numFmtId="0" fontId="8" fillId="0" borderId="15" xfId="0" applyFont="1" applyFill="1" applyBorder="1" applyAlignment="1" quotePrefix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4" fontId="8" fillId="0" borderId="27" xfId="443" applyNumberFormat="1" applyFont="1" applyFill="1" applyBorder="1" applyAlignment="1">
      <alignment horizontal="right" vertical="center"/>
    </xf>
    <xf numFmtId="4" fontId="8" fillId="0" borderId="27" xfId="0" applyNumberFormat="1" applyFont="1" applyFill="1" applyBorder="1" applyAlignment="1">
      <alignment horizontal="right" vertical="center"/>
    </xf>
    <xf numFmtId="4" fontId="22" fillId="0" borderId="20" xfId="0" applyNumberFormat="1" applyFont="1" applyFill="1" applyBorder="1" applyAlignment="1">
      <alignment horizontal="center" vertical="center"/>
    </xf>
    <xf numFmtId="10" fontId="22" fillId="0" borderId="27" xfId="0" applyNumberFormat="1" applyFont="1" applyFill="1" applyBorder="1" applyAlignment="1">
      <alignment horizontal="center" vertical="center"/>
    </xf>
    <xf numFmtId="171" fontId="21" fillId="35" borderId="15" xfId="308" applyFont="1" applyFill="1" applyBorder="1" applyAlignment="1">
      <alignment horizontal="left" vertical="center" wrapText="1"/>
    </xf>
    <xf numFmtId="0" fontId="81" fillId="0" borderId="12" xfId="0" applyFont="1" applyFill="1" applyBorder="1" applyAlignment="1">
      <alignment wrapText="1"/>
    </xf>
    <xf numFmtId="0" fontId="81" fillId="0" borderId="13" xfId="0" applyFont="1" applyFill="1" applyBorder="1" applyAlignment="1">
      <alignment wrapText="1"/>
    </xf>
    <xf numFmtId="0" fontId="81" fillId="0" borderId="12" xfId="0" applyFont="1" applyBorder="1" applyAlignment="1">
      <alignment horizontal="center" wrapText="1"/>
    </xf>
    <xf numFmtId="171" fontId="81" fillId="0" borderId="19" xfId="308" applyFont="1" applyFill="1" applyBorder="1" applyAlignment="1">
      <alignment horizontal="center" vertical="center"/>
    </xf>
    <xf numFmtId="2" fontId="81" fillId="0" borderId="18" xfId="0" applyNumberFormat="1" applyFont="1" applyBorder="1" applyAlignment="1">
      <alignment horizontal="center" vertical="center"/>
    </xf>
    <xf numFmtId="2" fontId="81" fillId="0" borderId="14" xfId="0" applyNumberFormat="1" applyFont="1" applyBorder="1" applyAlignment="1">
      <alignment horizontal="left" vertical="center"/>
    </xf>
    <xf numFmtId="0" fontId="80" fillId="0" borderId="11" xfId="0" applyFont="1" applyBorder="1" applyAlignment="1">
      <alignment/>
    </xf>
    <xf numFmtId="171" fontId="8" fillId="34" borderId="27" xfId="443" applyFont="1" applyFill="1" applyBorder="1" applyAlignment="1">
      <alignment vertical="center"/>
    </xf>
    <xf numFmtId="0" fontId="8" fillId="34" borderId="27" xfId="444" applyNumberFormat="1" applyFont="1" applyFill="1" applyBorder="1" applyAlignment="1">
      <alignment vertical="center" wrapText="1"/>
    </xf>
    <xf numFmtId="0" fontId="8" fillId="34" borderId="27" xfId="444" applyNumberFormat="1" applyFont="1" applyFill="1" applyBorder="1" applyAlignment="1">
      <alignment horizontal="center" vertical="center" wrapText="1"/>
    </xf>
    <xf numFmtId="0" fontId="8" fillId="34" borderId="21" xfId="444" applyNumberFormat="1" applyFont="1" applyFill="1" applyBorder="1" applyAlignment="1">
      <alignment horizontal="center" vertical="center" wrapText="1"/>
    </xf>
    <xf numFmtId="0" fontId="8" fillId="34" borderId="31" xfId="444" applyNumberFormat="1" applyFont="1" applyFill="1" applyBorder="1" applyAlignment="1">
      <alignment vertical="center" wrapText="1"/>
    </xf>
    <xf numFmtId="0" fontId="8" fillId="34" borderId="31" xfId="444" applyNumberFormat="1" applyFont="1" applyFill="1" applyBorder="1" applyAlignment="1">
      <alignment horizontal="center" vertical="center" wrapText="1"/>
    </xf>
    <xf numFmtId="0" fontId="8" fillId="0" borderId="31" xfId="444" applyNumberFormat="1" applyFont="1" applyFill="1" applyBorder="1" applyAlignment="1">
      <alignment horizontal="center" vertical="center" wrapText="1"/>
    </xf>
    <xf numFmtId="4" fontId="6" fillId="34" borderId="21" xfId="0" applyNumberFormat="1" applyFont="1" applyFill="1" applyBorder="1" applyAlignment="1">
      <alignment horizontal="right" vertical="center" wrapText="1"/>
    </xf>
    <xf numFmtId="0" fontId="8" fillId="34" borderId="21" xfId="444" applyNumberFormat="1" applyFont="1" applyFill="1" applyBorder="1" applyAlignment="1">
      <alignment wrapText="1"/>
    </xf>
    <xf numFmtId="4" fontId="8" fillId="34" borderId="21" xfId="444" applyNumberFormat="1" applyFont="1" applyFill="1" applyBorder="1" applyAlignment="1">
      <alignment horizontal="right" vertical="center"/>
    </xf>
    <xf numFmtId="0" fontId="81" fillId="0" borderId="11" xfId="0" applyFont="1" applyBorder="1" applyAlignment="1">
      <alignment horizontal="center"/>
    </xf>
    <xf numFmtId="0" fontId="78" fillId="0" borderId="13" xfId="0" applyFont="1" applyBorder="1" applyAlignment="1">
      <alignment horizontal="center" vertical="center"/>
    </xf>
    <xf numFmtId="0" fontId="78" fillId="0" borderId="14" xfId="0" applyFont="1" applyBorder="1" applyAlignment="1">
      <alignment/>
    </xf>
    <xf numFmtId="0" fontId="8" fillId="0" borderId="13" xfId="444" applyNumberFormat="1" applyFont="1" applyFill="1" applyBorder="1" applyAlignment="1">
      <alignment vertical="center" wrapText="1"/>
    </xf>
    <xf numFmtId="0" fontId="8" fillId="0" borderId="27" xfId="433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left" vertical="center" wrapText="1"/>
    </xf>
    <xf numFmtId="4" fontId="23" fillId="0" borderId="17" xfId="0" applyNumberFormat="1" applyFont="1" applyFill="1" applyBorder="1" applyAlignment="1">
      <alignment horizontal="center" vertical="center"/>
    </xf>
    <xf numFmtId="0" fontId="87" fillId="0" borderId="0" xfId="0" applyFont="1" applyBorder="1" applyAlignment="1">
      <alignment horizontal="left" vertical="center" wrapText="1"/>
    </xf>
    <xf numFmtId="0" fontId="87" fillId="0" borderId="12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85" fillId="38" borderId="12" xfId="0" applyFont="1" applyFill="1" applyBorder="1" applyAlignment="1">
      <alignment horizontal="right" vertical="center" wrapText="1"/>
    </xf>
    <xf numFmtId="0" fontId="85" fillId="38" borderId="0" xfId="0" applyFont="1" applyFill="1" applyBorder="1" applyAlignment="1">
      <alignment horizontal="right" vertical="center" wrapText="1"/>
    </xf>
    <xf numFmtId="4" fontId="23" fillId="34" borderId="21" xfId="0" applyNumberFormat="1" applyFont="1" applyFill="1" applyBorder="1" applyAlignment="1" quotePrefix="1">
      <alignment horizontal="right" vertical="center"/>
    </xf>
    <xf numFmtId="4" fontId="23" fillId="34" borderId="27" xfId="0" applyNumberFormat="1" applyFont="1" applyFill="1" applyBorder="1" applyAlignment="1">
      <alignment horizontal="center" vertical="center"/>
    </xf>
    <xf numFmtId="10" fontId="22" fillId="34" borderId="27" xfId="0" applyNumberFormat="1" applyFont="1" applyFill="1" applyBorder="1" applyAlignment="1">
      <alignment horizontal="center" vertical="center"/>
    </xf>
    <xf numFmtId="0" fontId="16" fillId="0" borderId="0" xfId="52" applyNumberFormat="1" applyFont="1" applyFill="1" applyBorder="1" applyAlignment="1">
      <alignment vertical="center" wrapText="1"/>
      <protection/>
    </xf>
    <xf numFmtId="4" fontId="24" fillId="34" borderId="0" xfId="443" applyNumberFormat="1" applyFont="1" applyFill="1" applyBorder="1" applyAlignment="1">
      <alignment horizontal="right" vertical="center"/>
    </xf>
    <xf numFmtId="0" fontId="81" fillId="0" borderId="0" xfId="0" applyFont="1" applyBorder="1" applyAlignment="1">
      <alignment horizontal="left" wrapText="1"/>
    </xf>
    <xf numFmtId="0" fontId="85" fillId="38" borderId="12" xfId="0" applyFont="1" applyFill="1" applyBorder="1" applyAlignment="1">
      <alignment horizontal="right" vertical="center" wrapText="1"/>
    </xf>
    <xf numFmtId="0" fontId="85" fillId="38" borderId="0" xfId="0" applyFont="1" applyFill="1" applyBorder="1" applyAlignment="1">
      <alignment horizontal="right" vertical="center" wrapText="1"/>
    </xf>
    <xf numFmtId="0" fontId="87" fillId="0" borderId="12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2" fontId="81" fillId="0" borderId="11" xfId="0" applyNumberFormat="1" applyFont="1" applyBorder="1" applyAlignment="1">
      <alignment horizontal="left" vertical="center"/>
    </xf>
    <xf numFmtId="171" fontId="20" fillId="0" borderId="13" xfId="308" applyFont="1" applyFill="1" applyBorder="1" applyAlignment="1">
      <alignment horizontal="left" vertical="center" wrapText="1"/>
    </xf>
    <xf numFmtId="171" fontId="21" fillId="16" borderId="10" xfId="308" applyFont="1" applyFill="1" applyBorder="1" applyAlignment="1">
      <alignment horizontal="left" vertical="center" wrapText="1"/>
    </xf>
    <xf numFmtId="171" fontId="21" fillId="16" borderId="11" xfId="308" applyFont="1" applyFill="1" applyBorder="1" applyAlignment="1">
      <alignment horizontal="left" vertical="center" wrapText="1"/>
    </xf>
    <xf numFmtId="0" fontId="81" fillId="16" borderId="11" xfId="0" applyFont="1" applyFill="1" applyBorder="1" applyAlignment="1">
      <alignment horizontal="center" vertical="center"/>
    </xf>
    <xf numFmtId="0" fontId="81" fillId="16" borderId="11" xfId="0" applyFont="1" applyFill="1" applyBorder="1" applyAlignment="1">
      <alignment/>
    </xf>
    <xf numFmtId="0" fontId="81" fillId="16" borderId="18" xfId="0" applyFont="1" applyFill="1" applyBorder="1" applyAlignment="1">
      <alignment/>
    </xf>
    <xf numFmtId="171" fontId="21" fillId="16" borderId="16" xfId="308" applyFont="1" applyFill="1" applyBorder="1" applyAlignment="1">
      <alignment horizontal="left" vertical="center" wrapText="1"/>
    </xf>
    <xf numFmtId="2" fontId="80" fillId="16" borderId="17" xfId="0" applyNumberFormat="1" applyFont="1" applyFill="1" applyBorder="1" applyAlignment="1">
      <alignment horizontal="center" vertical="center"/>
    </xf>
    <xf numFmtId="0" fontId="81" fillId="16" borderId="16" xfId="0" applyFont="1" applyFill="1" applyBorder="1" applyAlignment="1">
      <alignment vertical="center" wrapText="1"/>
    </xf>
    <xf numFmtId="171" fontId="81" fillId="16" borderId="16" xfId="308" applyFont="1" applyFill="1" applyBorder="1" applyAlignment="1">
      <alignment horizontal="left" vertical="center" wrapText="1"/>
    </xf>
    <xf numFmtId="171" fontId="81" fillId="16" borderId="16" xfId="308" applyFont="1" applyFill="1" applyBorder="1" applyAlignment="1">
      <alignment horizontal="center" vertical="center"/>
    </xf>
    <xf numFmtId="2" fontId="81" fillId="16" borderId="16" xfId="0" applyNumberFormat="1" applyFont="1" applyFill="1" applyBorder="1" applyAlignment="1">
      <alignment horizontal="center" vertical="center"/>
    </xf>
    <xf numFmtId="0" fontId="80" fillId="16" borderId="15" xfId="0" applyFont="1" applyFill="1" applyBorder="1" applyAlignment="1">
      <alignment horizontal="center" vertical="center"/>
    </xf>
    <xf numFmtId="0" fontId="81" fillId="16" borderId="16" xfId="0" applyFont="1" applyFill="1" applyBorder="1" applyAlignment="1">
      <alignment/>
    </xf>
    <xf numFmtId="2" fontId="81" fillId="0" borderId="11" xfId="0" applyNumberFormat="1" applyFont="1" applyFill="1" applyBorder="1" applyAlignment="1">
      <alignment horizontal="center" vertical="center"/>
    </xf>
    <xf numFmtId="2" fontId="80" fillId="0" borderId="18" xfId="0" applyNumberFormat="1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 wrapText="1"/>
    </xf>
    <xf numFmtId="2" fontId="81" fillId="0" borderId="19" xfId="0" applyNumberFormat="1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wrapText="1"/>
    </xf>
    <xf numFmtId="171" fontId="20" fillId="0" borderId="11" xfId="308" applyFont="1" applyFill="1" applyBorder="1" applyAlignment="1">
      <alignment horizontal="center" vertical="center" wrapText="1"/>
    </xf>
    <xf numFmtId="0" fontId="2" fillId="34" borderId="0" xfId="299" applyNumberFormat="1" applyFont="1" applyFill="1" applyBorder="1" applyAlignment="1">
      <alignment horizontal="left" vertical="top" wrapText="1"/>
      <protection/>
    </xf>
    <xf numFmtId="0" fontId="87" fillId="0" borderId="0" xfId="0" applyFont="1" applyBorder="1" applyAlignment="1">
      <alignment horizontal="left" vertical="center" wrapText="1"/>
    </xf>
    <xf numFmtId="0" fontId="87" fillId="0" borderId="12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85" fillId="38" borderId="12" xfId="0" applyFont="1" applyFill="1" applyBorder="1" applyAlignment="1">
      <alignment horizontal="right" vertical="center" wrapText="1"/>
    </xf>
    <xf numFmtId="0" fontId="85" fillId="38" borderId="0" xfId="0" applyFont="1" applyFill="1" applyBorder="1" applyAlignment="1">
      <alignment horizontal="right" vertical="center" wrapText="1"/>
    </xf>
    <xf numFmtId="184" fontId="87" fillId="0" borderId="0" xfId="0" applyNumberFormat="1" applyFont="1" applyBorder="1" applyAlignment="1">
      <alignment horizontal="right" vertical="center" wrapText="1"/>
    </xf>
    <xf numFmtId="0" fontId="23" fillId="0" borderId="15" xfId="0" applyNumberFormat="1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right" vertical="center" wrapText="1"/>
    </xf>
    <xf numFmtId="4" fontId="22" fillId="0" borderId="17" xfId="0" applyNumberFormat="1" applyFont="1" applyFill="1" applyBorder="1" applyAlignment="1">
      <alignment horizontal="center" vertical="center"/>
    </xf>
    <xf numFmtId="4" fontId="8" fillId="0" borderId="21" xfId="444" applyNumberFormat="1" applyFont="1" applyFill="1" applyBorder="1" applyAlignment="1">
      <alignment horizontal="right" vertical="center"/>
    </xf>
    <xf numFmtId="0" fontId="23" fillId="0" borderId="31" xfId="0" applyNumberFormat="1" applyFont="1" applyFill="1" applyBorder="1" applyAlignment="1">
      <alignment horizontal="left" vertical="center" wrapText="1"/>
    </xf>
    <xf numFmtId="0" fontId="8" fillId="0" borderId="31" xfId="443" applyNumberFormat="1" applyFont="1" applyFill="1" applyBorder="1" applyAlignment="1">
      <alignment horizontal="center" vertical="center" wrapText="1"/>
    </xf>
    <xf numFmtId="0" fontId="23" fillId="0" borderId="31" xfId="0" applyNumberFormat="1" applyFont="1" applyFill="1" applyBorder="1" applyAlignment="1" quotePrefix="1">
      <alignment horizontal="center" vertical="center" wrapText="1"/>
    </xf>
    <xf numFmtId="0" fontId="23" fillId="0" borderId="31" xfId="0" applyNumberFormat="1" applyFont="1" applyFill="1" applyBorder="1" applyAlignment="1">
      <alignment horizontal="center" vertical="center" wrapText="1"/>
    </xf>
    <xf numFmtId="0" fontId="8" fillId="0" borderId="21" xfId="443" applyNumberFormat="1" applyFont="1" applyFill="1" applyBorder="1" applyAlignment="1">
      <alignment vertical="center" wrapText="1"/>
    </xf>
    <xf numFmtId="4" fontId="23" fillId="0" borderId="31" xfId="0" applyNumberFormat="1" applyFont="1" applyFill="1" applyBorder="1" applyAlignment="1">
      <alignment horizontal="right" vertical="center"/>
    </xf>
    <xf numFmtId="4" fontId="8" fillId="0" borderId="31" xfId="0" applyNumberFormat="1" applyFont="1" applyFill="1" applyBorder="1" applyAlignment="1">
      <alignment vertical="center"/>
    </xf>
    <xf numFmtId="171" fontId="8" fillId="0" borderId="21" xfId="370" applyFont="1" applyFill="1" applyBorder="1" applyAlignment="1">
      <alignment vertical="center"/>
    </xf>
    <xf numFmtId="0" fontId="23" fillId="0" borderId="39" xfId="0" applyNumberFormat="1" applyFont="1" applyFill="1" applyBorder="1" applyAlignment="1">
      <alignment horizontal="center" vertical="center" wrapText="1"/>
    </xf>
    <xf numFmtId="0" fontId="8" fillId="0" borderId="21" xfId="444" applyNumberFormat="1" applyFont="1" applyFill="1" applyBorder="1" applyAlignment="1">
      <alignment vertical="center" wrapText="1"/>
    </xf>
    <xf numFmtId="2" fontId="23" fillId="0" borderId="21" xfId="0" applyNumberFormat="1" applyFont="1" applyFill="1" applyBorder="1" applyAlignment="1" quotePrefix="1">
      <alignment horizontal="center" vertical="center" wrapText="1"/>
    </xf>
    <xf numFmtId="0" fontId="23" fillId="0" borderId="27" xfId="0" applyNumberFormat="1" applyFont="1" applyFill="1" applyBorder="1" applyAlignment="1">
      <alignment horizontal="left" vertical="center" wrapText="1"/>
    </xf>
    <xf numFmtId="0" fontId="23" fillId="0" borderId="27" xfId="0" applyNumberFormat="1" applyFont="1" applyFill="1" applyBorder="1" applyAlignment="1" quotePrefix="1">
      <alignment horizontal="center" vertical="center" wrapText="1"/>
    </xf>
    <xf numFmtId="4" fontId="23" fillId="0" borderId="27" xfId="0" applyNumberFormat="1" applyFont="1" applyFill="1" applyBorder="1" applyAlignment="1">
      <alignment horizontal="center" vertical="center"/>
    </xf>
    <xf numFmtId="0" fontId="8" fillId="0" borderId="21" xfId="433" applyNumberFormat="1" applyFont="1" applyFill="1" applyBorder="1" applyAlignment="1">
      <alignment horizontal="left" vertical="center" wrapText="1"/>
    </xf>
    <xf numFmtId="4" fontId="23" fillId="0" borderId="15" xfId="0" applyNumberFormat="1" applyFont="1" applyFill="1" applyBorder="1" applyAlignment="1">
      <alignment horizontal="right" vertical="center"/>
    </xf>
    <xf numFmtId="171" fontId="8" fillId="0" borderId="21" xfId="443" applyFont="1" applyFill="1" applyBorder="1" applyAlignment="1">
      <alignment vertical="center"/>
    </xf>
    <xf numFmtId="10" fontId="22" fillId="0" borderId="31" xfId="0" applyNumberFormat="1" applyFont="1" applyFill="1" applyBorder="1" applyAlignment="1">
      <alignment horizontal="center" vertical="center"/>
    </xf>
    <xf numFmtId="0" fontId="8" fillId="0" borderId="10" xfId="433" applyNumberFormat="1" applyFont="1" applyFill="1" applyBorder="1" applyAlignment="1">
      <alignment horizontal="left" vertical="center" wrapText="1"/>
    </xf>
    <xf numFmtId="4" fontId="8" fillId="0" borderId="27" xfId="443" applyNumberFormat="1" applyFont="1" applyFill="1" applyBorder="1" applyAlignment="1">
      <alignment horizontal="right" vertical="center" wrapText="1"/>
    </xf>
    <xf numFmtId="4" fontId="8" fillId="0" borderId="21" xfId="443" applyNumberFormat="1" applyFont="1" applyFill="1" applyBorder="1" applyAlignment="1">
      <alignment horizontal="right" vertical="center" wrapText="1"/>
    </xf>
    <xf numFmtId="4" fontId="8" fillId="0" borderId="21" xfId="299" applyNumberFormat="1" applyFont="1" applyFill="1" applyBorder="1" applyAlignment="1">
      <alignment horizontal="right" vertical="center"/>
      <protection/>
    </xf>
    <xf numFmtId="0" fontId="88" fillId="0" borderId="21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4" fontId="23" fillId="0" borderId="20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 quotePrefix="1">
      <alignment horizontal="center" vertical="center" wrapText="1"/>
    </xf>
    <xf numFmtId="0" fontId="8" fillId="0" borderId="13" xfId="443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8" fillId="0" borderId="27" xfId="0" applyFont="1" applyFill="1" applyBorder="1" applyAlignment="1">
      <alignment horizontal="center" vertical="center"/>
    </xf>
    <xf numFmtId="171" fontId="8" fillId="0" borderId="27" xfId="443" applyFont="1" applyFill="1" applyBorder="1" applyAlignment="1" applyProtection="1">
      <alignment horizontal="center" vertical="center" wrapText="1"/>
      <protection/>
    </xf>
    <xf numFmtId="171" fontId="8" fillId="0" borderId="40" xfId="443" applyFont="1" applyFill="1" applyBorder="1" applyAlignment="1" applyProtection="1">
      <alignment horizontal="center" vertical="center" wrapText="1"/>
      <protection/>
    </xf>
    <xf numFmtId="43" fontId="88" fillId="0" borderId="27" xfId="0" applyNumberFormat="1" applyFont="1" applyFill="1" applyBorder="1" applyAlignment="1">
      <alignment vertical="center"/>
    </xf>
    <xf numFmtId="0" fontId="88" fillId="0" borderId="21" xfId="0" applyFont="1" applyFill="1" applyBorder="1" applyAlignment="1">
      <alignment horizontal="left" vertical="center" wrapText="1"/>
    </xf>
    <xf numFmtId="197" fontId="88" fillId="0" borderId="21" xfId="0" applyNumberFormat="1" applyFont="1" applyFill="1" applyBorder="1" applyAlignment="1" quotePrefix="1">
      <alignment horizontal="center" vertical="center"/>
    </xf>
    <xf numFmtId="171" fontId="8" fillId="0" borderId="41" xfId="443" applyFont="1" applyFill="1" applyBorder="1" applyAlignment="1" applyProtection="1">
      <alignment horizontal="center" vertical="center" wrapText="1"/>
      <protection/>
    </xf>
    <xf numFmtId="43" fontId="88" fillId="0" borderId="21" xfId="0" applyNumberFormat="1" applyFont="1" applyFill="1" applyBorder="1" applyAlignment="1">
      <alignment vertical="center"/>
    </xf>
    <xf numFmtId="0" fontId="88" fillId="0" borderId="21" xfId="0" applyFont="1" applyFill="1" applyBorder="1" applyAlignment="1">
      <alignment horizontal="center" vertical="center" wrapText="1"/>
    </xf>
    <xf numFmtId="171" fontId="8" fillId="0" borderId="21" xfId="443" applyFont="1" applyFill="1" applyBorder="1" applyAlignment="1" applyProtection="1">
      <alignment horizontal="center" vertical="center" wrapText="1"/>
      <protection/>
    </xf>
    <xf numFmtId="0" fontId="88" fillId="0" borderId="21" xfId="0" applyFont="1" applyFill="1" applyBorder="1" applyAlignment="1">
      <alignment horizontal="center" vertical="center"/>
    </xf>
    <xf numFmtId="1" fontId="88" fillId="0" borderId="21" xfId="0" applyNumberFormat="1" applyFont="1" applyFill="1" applyBorder="1" applyAlignment="1">
      <alignment horizontal="center" vertical="center" wrapText="1"/>
    </xf>
    <xf numFmtId="0" fontId="53" fillId="35" borderId="30" xfId="227" applyFont="1" applyFill="1" applyBorder="1" applyAlignment="1">
      <alignment horizontal="center" vertical="center"/>
      <protection/>
    </xf>
    <xf numFmtId="0" fontId="53" fillId="35" borderId="31" xfId="227" applyFont="1" applyFill="1" applyBorder="1" applyAlignment="1">
      <alignment horizontal="center" vertical="center"/>
      <protection/>
    </xf>
    <xf numFmtId="0" fontId="53" fillId="35" borderId="32" xfId="227" applyFont="1" applyFill="1" applyBorder="1" applyAlignment="1">
      <alignment horizontal="center" vertical="center"/>
      <protection/>
    </xf>
    <xf numFmtId="2" fontId="53" fillId="35" borderId="21" xfId="227" applyNumberFormat="1" applyFont="1" applyFill="1" applyBorder="1" applyAlignment="1">
      <alignment horizontal="center"/>
      <protection/>
    </xf>
    <xf numFmtId="2" fontId="53" fillId="35" borderId="29" xfId="227" applyNumberFormat="1" applyFont="1" applyFill="1" applyBorder="1" applyAlignment="1">
      <alignment horizontal="center"/>
      <protection/>
    </xf>
    <xf numFmtId="171" fontId="21" fillId="35" borderId="15" xfId="308" applyFont="1" applyFill="1" applyBorder="1" applyAlignment="1">
      <alignment vertical="center" wrapText="1"/>
    </xf>
    <xf numFmtId="171" fontId="21" fillId="35" borderId="16" xfId="308" applyFont="1" applyFill="1" applyBorder="1" applyAlignment="1">
      <alignment vertical="center"/>
    </xf>
    <xf numFmtId="193" fontId="9" fillId="0" borderId="42" xfId="301" applyNumberFormat="1" applyFont="1" applyFill="1" applyBorder="1" applyAlignment="1">
      <alignment horizontal="center" vertical="center"/>
    </xf>
    <xf numFmtId="193" fontId="9" fillId="0" borderId="43" xfId="301" applyNumberFormat="1" applyFont="1" applyFill="1" applyBorder="1" applyAlignment="1">
      <alignment horizontal="center" vertical="center"/>
    </xf>
    <xf numFmtId="193" fontId="9" fillId="0" borderId="44" xfId="301" applyNumberFormat="1" applyFont="1" applyFill="1" applyBorder="1" applyAlignment="1">
      <alignment horizontal="center" vertical="center"/>
    </xf>
    <xf numFmtId="43" fontId="9" fillId="0" borderId="42" xfId="432" applyNumberFormat="1" applyFont="1" applyFill="1" applyBorder="1" applyAlignment="1">
      <alignment horizontal="right" vertical="center"/>
    </xf>
    <xf numFmtId="43" fontId="9" fillId="0" borderId="43" xfId="432" applyNumberFormat="1" applyFont="1" applyFill="1" applyBorder="1" applyAlignment="1">
      <alignment horizontal="right" vertical="center"/>
    </xf>
    <xf numFmtId="43" fontId="9" fillId="0" borderId="44" xfId="432" applyNumberFormat="1" applyFont="1" applyFill="1" applyBorder="1" applyAlignment="1">
      <alignment horizontal="right" vertical="center"/>
    </xf>
    <xf numFmtId="0" fontId="11" fillId="0" borderId="42" xfId="296" applyFont="1" applyFill="1" applyBorder="1" applyAlignment="1">
      <alignment horizontal="center" vertical="center"/>
      <protection/>
    </xf>
    <xf numFmtId="0" fontId="11" fillId="0" borderId="43" xfId="296" applyFont="1" applyFill="1" applyBorder="1" applyAlignment="1">
      <alignment horizontal="center" vertical="center"/>
      <protection/>
    </xf>
    <xf numFmtId="0" fontId="11" fillId="0" borderId="44" xfId="296" applyFont="1" applyFill="1" applyBorder="1" applyAlignment="1">
      <alignment horizontal="center" vertical="center"/>
      <protection/>
    </xf>
    <xf numFmtId="0" fontId="11" fillId="0" borderId="42" xfId="296" applyFont="1" applyFill="1" applyBorder="1" applyAlignment="1">
      <alignment vertical="center"/>
      <protection/>
    </xf>
    <xf numFmtId="0" fontId="11" fillId="0" borderId="43" xfId="296" applyFont="1" applyFill="1" applyBorder="1" applyAlignment="1">
      <alignment vertical="center"/>
      <protection/>
    </xf>
    <xf numFmtId="0" fontId="11" fillId="0" borderId="43" xfId="296" applyFont="1" applyFill="1" applyBorder="1" applyAlignment="1">
      <alignment horizontal="left" vertical="center"/>
      <protection/>
    </xf>
    <xf numFmtId="0" fontId="11" fillId="0" borderId="43" xfId="296" applyNumberFormat="1" applyFont="1" applyFill="1" applyBorder="1" applyAlignment="1">
      <alignment vertical="center" wrapText="1"/>
      <protection/>
    </xf>
    <xf numFmtId="0" fontId="11" fillId="0" borderId="43" xfId="296" applyFont="1" applyFill="1" applyBorder="1" applyAlignment="1">
      <alignment vertical="center" wrapText="1"/>
      <protection/>
    </xf>
    <xf numFmtId="0" fontId="11" fillId="0" borderId="44" xfId="296" applyFont="1" applyFill="1" applyBorder="1" applyAlignment="1">
      <alignment vertical="center"/>
      <protection/>
    </xf>
    <xf numFmtId="43" fontId="9" fillId="0" borderId="45" xfId="432" applyNumberFormat="1" applyFont="1" applyFill="1" applyBorder="1" applyAlignment="1">
      <alignment horizontal="right" vertical="center"/>
    </xf>
    <xf numFmtId="43" fontId="9" fillId="0" borderId="46" xfId="432" applyNumberFormat="1" applyFont="1" applyFill="1" applyBorder="1" applyAlignment="1">
      <alignment horizontal="right" vertical="center"/>
    </xf>
    <xf numFmtId="43" fontId="9" fillId="0" borderId="28" xfId="432" applyNumberFormat="1" applyFont="1" applyFill="1" applyBorder="1" applyAlignment="1">
      <alignment horizontal="right" vertical="center"/>
    </xf>
    <xf numFmtId="43" fontId="9" fillId="0" borderId="29" xfId="432" applyNumberFormat="1" applyFont="1" applyFill="1" applyBorder="1" applyAlignment="1">
      <alignment horizontal="right" vertical="center"/>
    </xf>
    <xf numFmtId="43" fontId="9" fillId="0" borderId="36" xfId="432" applyNumberFormat="1" applyFont="1" applyFill="1" applyBorder="1" applyAlignment="1">
      <alignment horizontal="right" vertical="center"/>
    </xf>
    <xf numFmtId="43" fontId="9" fillId="0" borderId="38" xfId="432" applyNumberFormat="1" applyFont="1" applyFill="1" applyBorder="1" applyAlignment="1">
      <alignment horizontal="right" vertical="center"/>
    </xf>
    <xf numFmtId="43" fontId="9" fillId="0" borderId="45" xfId="432" applyNumberFormat="1" applyFont="1" applyFill="1" applyBorder="1" applyAlignment="1">
      <alignment horizontal="center" vertical="center"/>
    </xf>
    <xf numFmtId="43" fontId="9" fillId="0" borderId="28" xfId="432" applyNumberFormat="1" applyFont="1" applyFill="1" applyBorder="1" applyAlignment="1">
      <alignment horizontal="center" vertical="center"/>
    </xf>
    <xf numFmtId="43" fontId="9" fillId="0" borderId="36" xfId="432" applyNumberFormat="1" applyFont="1" applyFill="1" applyBorder="1" applyAlignment="1">
      <alignment horizontal="center" vertical="center"/>
    </xf>
    <xf numFmtId="43" fontId="9" fillId="0" borderId="42" xfId="296" applyNumberFormat="1" applyFont="1" applyFill="1" applyBorder="1" applyAlignment="1">
      <alignment horizontal="right" vertical="center"/>
      <protection/>
    </xf>
    <xf numFmtId="43" fontId="9" fillId="0" borderId="43" xfId="296" applyNumberFormat="1" applyFont="1" applyFill="1" applyBorder="1" applyAlignment="1">
      <alignment horizontal="right" vertical="center"/>
      <protection/>
    </xf>
    <xf numFmtId="43" fontId="9" fillId="0" borderId="44" xfId="296" applyNumberFormat="1" applyFont="1" applyFill="1" applyBorder="1" applyAlignment="1">
      <alignment horizontal="right" vertical="center"/>
      <protection/>
    </xf>
    <xf numFmtId="0" fontId="19" fillId="0" borderId="36" xfId="296" applyFont="1" applyFill="1" applyBorder="1" applyAlignment="1">
      <alignment horizontal="center" vertical="center" wrapText="1"/>
      <protection/>
    </xf>
    <xf numFmtId="0" fontId="19" fillId="0" borderId="38" xfId="296" applyFont="1" applyFill="1" applyBorder="1" applyAlignment="1">
      <alignment horizontal="center" vertical="center" wrapText="1"/>
      <protection/>
    </xf>
    <xf numFmtId="43" fontId="9" fillId="0" borderId="47" xfId="432" applyNumberFormat="1" applyFont="1" applyFill="1" applyBorder="1" applyAlignment="1">
      <alignment horizontal="right" vertical="center"/>
    </xf>
    <xf numFmtId="43" fontId="9" fillId="0" borderId="48" xfId="432" applyNumberFormat="1" applyFont="1" applyFill="1" applyBorder="1" applyAlignment="1">
      <alignment horizontal="right" vertical="center"/>
    </xf>
    <xf numFmtId="43" fontId="9" fillId="0" borderId="49" xfId="432" applyNumberFormat="1" applyFont="1" applyFill="1" applyBorder="1" applyAlignment="1">
      <alignment horizontal="right" vertical="center"/>
    </xf>
    <xf numFmtId="43" fontId="9" fillId="0" borderId="43" xfId="432" applyNumberFormat="1" applyFont="1" applyFill="1" applyBorder="1" applyAlignment="1">
      <alignment horizontal="center" vertical="center"/>
    </xf>
    <xf numFmtId="0" fontId="9" fillId="0" borderId="0" xfId="296" applyFont="1" applyFill="1" applyBorder="1" applyAlignment="1">
      <alignment vertical="center"/>
      <protection/>
    </xf>
    <xf numFmtId="0" fontId="11" fillId="35" borderId="50" xfId="296" applyFont="1" applyFill="1" applyBorder="1" applyAlignment="1">
      <alignment vertical="center"/>
      <protection/>
    </xf>
    <xf numFmtId="0" fontId="11" fillId="0" borderId="0" xfId="296" applyFont="1" applyFill="1" applyBorder="1" applyAlignment="1">
      <alignment vertical="center"/>
      <protection/>
    </xf>
    <xf numFmtId="0" fontId="9" fillId="0" borderId="0" xfId="296" applyFont="1" applyFill="1" applyBorder="1" applyAlignment="1">
      <alignment horizontal="center" vertical="center"/>
      <protection/>
    </xf>
    <xf numFmtId="0" fontId="9" fillId="35" borderId="50" xfId="296" applyFont="1" applyFill="1" applyBorder="1" applyAlignment="1">
      <alignment vertical="center"/>
      <protection/>
    </xf>
    <xf numFmtId="171" fontId="9" fillId="0" borderId="0" xfId="432" applyFont="1" applyFill="1" applyBorder="1" applyAlignment="1">
      <alignment horizontal="right" vertical="center"/>
    </xf>
    <xf numFmtId="0" fontId="0" fillId="35" borderId="50" xfId="0" applyFill="1" applyBorder="1" applyAlignment="1">
      <alignment/>
    </xf>
    <xf numFmtId="171" fontId="9" fillId="0" borderId="0" xfId="296" applyNumberFormat="1" applyFont="1" applyFill="1" applyBorder="1" applyAlignment="1">
      <alignment horizontal="right" vertical="center"/>
      <protection/>
    </xf>
    <xf numFmtId="9" fontId="11" fillId="35" borderId="50" xfId="301" applyFont="1" applyFill="1" applyBorder="1" applyAlignment="1">
      <alignment horizontal="center" vertical="center"/>
    </xf>
    <xf numFmtId="43" fontId="9" fillId="0" borderId="0" xfId="432" applyNumberFormat="1" applyFont="1" applyFill="1" applyBorder="1" applyAlignment="1">
      <alignment horizontal="right" vertical="center"/>
    </xf>
    <xf numFmtId="43" fontId="11" fillId="35" borderId="50" xfId="432" applyNumberFormat="1" applyFont="1" applyFill="1" applyBorder="1" applyAlignment="1">
      <alignment horizontal="right" vertical="center"/>
    </xf>
    <xf numFmtId="0" fontId="9" fillId="35" borderId="50" xfId="296" applyFont="1" applyFill="1" applyBorder="1" applyAlignment="1">
      <alignment horizontal="right" vertical="center"/>
      <protection/>
    </xf>
    <xf numFmtId="43" fontId="11" fillId="35" borderId="50" xfId="296" applyNumberFormat="1" applyFont="1" applyFill="1" applyBorder="1" applyAlignment="1">
      <alignment horizontal="right" vertical="center"/>
      <protection/>
    </xf>
    <xf numFmtId="43" fontId="9" fillId="0" borderId="0" xfId="296" applyNumberFormat="1" applyFont="1" applyFill="1" applyBorder="1" applyAlignment="1">
      <alignment horizontal="right" vertical="center"/>
      <protection/>
    </xf>
    <xf numFmtId="10" fontId="11" fillId="35" borderId="50" xfId="301" applyNumberFormat="1" applyFont="1" applyFill="1" applyBorder="1" applyAlignment="1">
      <alignment horizontal="right" vertical="center"/>
    </xf>
    <xf numFmtId="10" fontId="11" fillId="35" borderId="50" xfId="432" applyNumberFormat="1" applyFont="1" applyFill="1" applyBorder="1" applyAlignment="1">
      <alignment horizontal="right" vertical="center"/>
    </xf>
    <xf numFmtId="10" fontId="11" fillId="35" borderId="50" xfId="296" applyNumberFormat="1" applyFont="1" applyFill="1" applyBorder="1" applyAlignment="1">
      <alignment horizontal="center" vertical="center"/>
      <protection/>
    </xf>
    <xf numFmtId="0" fontId="8" fillId="34" borderId="27" xfId="443" applyNumberFormat="1" applyFont="1" applyFill="1" applyBorder="1" applyAlignment="1">
      <alignment vertical="center" wrapText="1"/>
    </xf>
    <xf numFmtId="0" fontId="8" fillId="34" borderId="27" xfId="443" applyNumberFormat="1" applyFont="1" applyFill="1" applyBorder="1" applyAlignment="1">
      <alignment horizontal="center" vertical="center" wrapText="1"/>
    </xf>
    <xf numFmtId="0" fontId="22" fillId="35" borderId="22" xfId="0" applyNumberFormat="1" applyFont="1" applyFill="1" applyBorder="1" applyAlignment="1" quotePrefix="1">
      <alignment horizontal="center" vertical="center" wrapText="1"/>
    </xf>
    <xf numFmtId="0" fontId="22" fillId="35" borderId="51" xfId="0" applyNumberFormat="1" applyFont="1" applyFill="1" applyBorder="1" applyAlignment="1">
      <alignment horizontal="left" vertical="center" wrapText="1"/>
    </xf>
    <xf numFmtId="0" fontId="22" fillId="35" borderId="23" xfId="0" applyNumberFormat="1" applyFont="1" applyFill="1" applyBorder="1" applyAlignment="1">
      <alignment horizontal="left" vertical="center" wrapText="1"/>
    </xf>
    <xf numFmtId="0" fontId="23" fillId="35" borderId="23" xfId="0" applyNumberFormat="1" applyFont="1" applyFill="1" applyBorder="1" applyAlignment="1">
      <alignment horizontal="center" vertical="center" wrapText="1"/>
    </xf>
    <xf numFmtId="4" fontId="23" fillId="35" borderId="23" xfId="0" applyNumberFormat="1" applyFont="1" applyFill="1" applyBorder="1" applyAlignment="1">
      <alignment horizontal="right" vertical="center"/>
    </xf>
    <xf numFmtId="4" fontId="23" fillId="35" borderId="52" xfId="0" applyNumberFormat="1" applyFont="1" applyFill="1" applyBorder="1" applyAlignment="1">
      <alignment horizontal="right" vertical="center"/>
    </xf>
    <xf numFmtId="4" fontId="22" fillId="35" borderId="52" xfId="0" applyNumberFormat="1" applyFont="1" applyFill="1" applyBorder="1" applyAlignment="1">
      <alignment horizontal="center" vertical="center"/>
    </xf>
    <xf numFmtId="10" fontId="22" fillId="35" borderId="35" xfId="0" applyNumberFormat="1" applyFont="1" applyFill="1" applyBorder="1" applyAlignment="1">
      <alignment horizontal="center" vertical="center"/>
    </xf>
    <xf numFmtId="0" fontId="8" fillId="34" borderId="31" xfId="443" applyNumberFormat="1" applyFont="1" applyFill="1" applyBorder="1" applyAlignment="1">
      <alignment vertical="center" wrapText="1"/>
    </xf>
    <xf numFmtId="0" fontId="8" fillId="34" borderId="31" xfId="443" applyNumberFormat="1" applyFont="1" applyFill="1" applyBorder="1" applyAlignment="1">
      <alignment horizontal="center" vertical="center" wrapText="1"/>
    </xf>
    <xf numFmtId="0" fontId="23" fillId="34" borderId="31" xfId="0" applyNumberFormat="1" applyFont="1" applyFill="1" applyBorder="1" applyAlignment="1">
      <alignment horizontal="center" vertical="center" wrapText="1"/>
    </xf>
    <xf numFmtId="4" fontId="23" fillId="34" borderId="31" xfId="0" applyNumberFormat="1" applyFont="1" applyFill="1" applyBorder="1" applyAlignment="1">
      <alignment horizontal="right" vertical="center"/>
    </xf>
    <xf numFmtId="4" fontId="8" fillId="34" borderId="31" xfId="443" applyNumberFormat="1" applyFont="1" applyFill="1" applyBorder="1" applyAlignment="1">
      <alignment horizontal="right" vertical="center" wrapText="1"/>
    </xf>
    <xf numFmtId="4" fontId="23" fillId="34" borderId="39" xfId="0" applyNumberFormat="1" applyFont="1" applyFill="1" applyBorder="1" applyAlignment="1">
      <alignment horizontal="right" vertical="center"/>
    </xf>
    <xf numFmtId="4" fontId="23" fillId="34" borderId="18" xfId="0" applyNumberFormat="1" applyFont="1" applyFill="1" applyBorder="1" applyAlignment="1">
      <alignment horizontal="center" vertical="center"/>
    </xf>
    <xf numFmtId="10" fontId="22" fillId="34" borderId="31" xfId="0" applyNumberFormat="1" applyFont="1" applyFill="1" applyBorder="1" applyAlignment="1">
      <alignment horizontal="center" vertical="center"/>
    </xf>
    <xf numFmtId="0" fontId="22" fillId="35" borderId="33" xfId="0" applyNumberFormat="1" applyFont="1" applyFill="1" applyBorder="1" applyAlignment="1" quotePrefix="1">
      <alignment horizontal="center" vertical="center" wrapText="1"/>
    </xf>
    <xf numFmtId="0" fontId="22" fillId="35" borderId="23" xfId="0" applyNumberFormat="1" applyFont="1" applyFill="1" applyBorder="1" applyAlignment="1">
      <alignment horizontal="center" vertical="center" wrapText="1"/>
    </xf>
    <xf numFmtId="4" fontId="22" fillId="35" borderId="34" xfId="0" applyNumberFormat="1" applyFont="1" applyFill="1" applyBorder="1" applyAlignment="1">
      <alignment horizontal="center" vertical="center"/>
    </xf>
    <xf numFmtId="0" fontId="22" fillId="16" borderId="21" xfId="0" applyNumberFormat="1" applyFont="1" applyFill="1" applyBorder="1" applyAlignment="1" quotePrefix="1">
      <alignment horizontal="center" vertical="center" wrapText="1"/>
    </xf>
    <xf numFmtId="0" fontId="22" fillId="16" borderId="15" xfId="0" applyNumberFormat="1" applyFont="1" applyFill="1" applyBorder="1" applyAlignment="1">
      <alignment horizontal="left" vertical="center" wrapText="1"/>
    </xf>
    <xf numFmtId="0" fontId="8" fillId="16" borderId="16" xfId="443" applyNumberFormat="1" applyFont="1" applyFill="1" applyBorder="1" applyAlignment="1">
      <alignment horizontal="center" vertical="center" wrapText="1"/>
    </xf>
    <xf numFmtId="0" fontId="23" fillId="16" borderId="16" xfId="0" applyNumberFormat="1" applyFont="1" applyFill="1" applyBorder="1" applyAlignment="1" quotePrefix="1">
      <alignment horizontal="center" vertical="center" wrapText="1"/>
    </xf>
    <xf numFmtId="0" fontId="23" fillId="16" borderId="16" xfId="0" applyNumberFormat="1" applyFont="1" applyFill="1" applyBorder="1" applyAlignment="1">
      <alignment horizontal="center" vertical="center" wrapText="1"/>
    </xf>
    <xf numFmtId="4" fontId="23" fillId="16" borderId="16" xfId="0" applyNumberFormat="1" applyFont="1" applyFill="1" applyBorder="1" applyAlignment="1">
      <alignment horizontal="right" vertical="center"/>
    </xf>
    <xf numFmtId="4" fontId="8" fillId="16" borderId="16" xfId="0" applyNumberFormat="1" applyFont="1" applyFill="1" applyBorder="1" applyAlignment="1">
      <alignment vertical="center"/>
    </xf>
    <xf numFmtId="4" fontId="23" fillId="16" borderId="17" xfId="0" applyNumberFormat="1" applyFont="1" applyFill="1" applyBorder="1" applyAlignment="1">
      <alignment horizontal="right" vertical="center"/>
    </xf>
    <xf numFmtId="4" fontId="8" fillId="16" borderId="17" xfId="432" applyNumberFormat="1" applyFont="1" applyFill="1" applyBorder="1" applyAlignment="1">
      <alignment horizontal="center" vertical="center"/>
    </xf>
    <xf numFmtId="10" fontId="22" fillId="16" borderId="21" xfId="0" applyNumberFormat="1" applyFont="1" applyFill="1" applyBorder="1" applyAlignment="1">
      <alignment horizontal="center" vertical="center"/>
    </xf>
    <xf numFmtId="4" fontId="23" fillId="16" borderId="14" xfId="0" applyNumberFormat="1" applyFont="1" applyFill="1" applyBorder="1" applyAlignment="1">
      <alignment horizontal="right" vertical="center"/>
    </xf>
    <xf numFmtId="4" fontId="23" fillId="16" borderId="20" xfId="0" applyNumberFormat="1" applyFont="1" applyFill="1" applyBorder="1" applyAlignment="1">
      <alignment horizontal="right" vertical="center"/>
    </xf>
    <xf numFmtId="4" fontId="8" fillId="16" borderId="21" xfId="432" applyNumberFormat="1" applyFont="1" applyFill="1" applyBorder="1" applyAlignment="1">
      <alignment horizontal="center" vertical="center"/>
    </xf>
    <xf numFmtId="0" fontId="22" fillId="16" borderId="15" xfId="0" applyNumberFormat="1" applyFont="1" applyFill="1" applyBorder="1" applyAlignment="1">
      <alignment horizontal="center" vertical="center" wrapText="1"/>
    </xf>
    <xf numFmtId="4" fontId="23" fillId="16" borderId="17" xfId="0" applyNumberFormat="1" applyFont="1" applyFill="1" applyBorder="1" applyAlignment="1">
      <alignment horizontal="center" vertical="center"/>
    </xf>
    <xf numFmtId="0" fontId="14" fillId="16" borderId="15" xfId="0" applyFont="1" applyFill="1" applyBorder="1" applyAlignment="1">
      <alignment vertical="center" wrapText="1"/>
    </xf>
    <xf numFmtId="0" fontId="8" fillId="16" borderId="16" xfId="0" applyFont="1" applyFill="1" applyBorder="1" applyAlignment="1">
      <alignment horizontal="center" vertical="center" wrapText="1"/>
    </xf>
    <xf numFmtId="0" fontId="89" fillId="16" borderId="16" xfId="0" applyFont="1" applyFill="1" applyBorder="1" applyAlignment="1" quotePrefix="1">
      <alignment horizontal="center" vertical="center" wrapText="1"/>
    </xf>
    <xf numFmtId="0" fontId="8" fillId="16" borderId="16" xfId="0" applyFont="1" applyFill="1" applyBorder="1" applyAlignment="1">
      <alignment horizontal="center" vertical="center"/>
    </xf>
    <xf numFmtId="4" fontId="8" fillId="16" borderId="16" xfId="443" applyNumberFormat="1" applyFont="1" applyFill="1" applyBorder="1" applyAlignment="1">
      <alignment horizontal="right" vertical="center"/>
    </xf>
    <xf numFmtId="4" fontId="8" fillId="16" borderId="16" xfId="0" applyNumberFormat="1" applyFont="1" applyFill="1" applyBorder="1" applyAlignment="1">
      <alignment horizontal="right" vertical="center"/>
    </xf>
    <xf numFmtId="4" fontId="22" fillId="16" borderId="21" xfId="0" applyNumberFormat="1" applyFont="1" applyFill="1" applyBorder="1" applyAlignment="1">
      <alignment horizontal="center" vertical="center"/>
    </xf>
    <xf numFmtId="0" fontId="22" fillId="35" borderId="53" xfId="0" applyNumberFormat="1" applyFont="1" applyFill="1" applyBorder="1" applyAlignment="1" quotePrefix="1">
      <alignment horizontal="center" vertical="center" wrapText="1"/>
    </xf>
    <xf numFmtId="0" fontId="22" fillId="35" borderId="54" xfId="0" applyNumberFormat="1" applyFont="1" applyFill="1" applyBorder="1" applyAlignment="1">
      <alignment horizontal="left" vertical="center" wrapText="1"/>
    </xf>
    <xf numFmtId="0" fontId="22" fillId="35" borderId="55" xfId="0" applyNumberFormat="1" applyFont="1" applyFill="1" applyBorder="1" applyAlignment="1">
      <alignment horizontal="left" vertical="center" wrapText="1"/>
    </xf>
    <xf numFmtId="0" fontId="22" fillId="35" borderId="55" xfId="0" applyNumberFormat="1" applyFont="1" applyFill="1" applyBorder="1" applyAlignment="1">
      <alignment horizontal="center" vertical="center" wrapText="1"/>
    </xf>
    <xf numFmtId="0" fontId="23" fillId="35" borderId="55" xfId="0" applyNumberFormat="1" applyFont="1" applyFill="1" applyBorder="1" applyAlignment="1">
      <alignment horizontal="center" vertical="center" wrapText="1"/>
    </xf>
    <xf numFmtId="4" fontId="23" fillId="35" borderId="55" xfId="0" applyNumberFormat="1" applyFont="1" applyFill="1" applyBorder="1" applyAlignment="1">
      <alignment horizontal="right" vertical="center"/>
    </xf>
    <xf numFmtId="4" fontId="23" fillId="35" borderId="56" xfId="0" applyNumberFormat="1" applyFont="1" applyFill="1" applyBorder="1" applyAlignment="1">
      <alignment horizontal="right" vertical="center"/>
    </xf>
    <xf numFmtId="4" fontId="22" fillId="35" borderId="57" xfId="0" applyNumberFormat="1" applyFont="1" applyFill="1" applyBorder="1" applyAlignment="1">
      <alignment horizontal="center" vertical="center"/>
    </xf>
    <xf numFmtId="10" fontId="22" fillId="35" borderId="58" xfId="0" applyNumberFormat="1" applyFont="1" applyFill="1" applyBorder="1" applyAlignment="1">
      <alignment horizontal="center" vertical="center"/>
    </xf>
    <xf numFmtId="2" fontId="80" fillId="0" borderId="0" xfId="0" applyNumberFormat="1" applyFont="1" applyBorder="1" applyAlignment="1">
      <alignment horizontal="left" vertical="center"/>
    </xf>
    <xf numFmtId="4" fontId="23" fillId="0" borderId="31" xfId="0" applyNumberFormat="1" applyFont="1" applyFill="1" applyBorder="1" applyAlignment="1">
      <alignment horizontal="center" vertical="center"/>
    </xf>
    <xf numFmtId="0" fontId="87" fillId="0" borderId="0" xfId="0" applyFont="1" applyBorder="1" applyAlignment="1">
      <alignment horizontal="left" vertical="center" wrapText="1"/>
    </xf>
    <xf numFmtId="0" fontId="87" fillId="0" borderId="12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85" fillId="38" borderId="12" xfId="0" applyFont="1" applyFill="1" applyBorder="1" applyAlignment="1">
      <alignment horizontal="right" vertical="center" wrapText="1"/>
    </xf>
    <xf numFmtId="0" fontId="85" fillId="38" borderId="0" xfId="0" applyFont="1" applyFill="1" applyBorder="1" applyAlignment="1">
      <alignment horizontal="right" vertical="center" wrapText="1"/>
    </xf>
    <xf numFmtId="4" fontId="23" fillId="35" borderId="59" xfId="0" applyNumberFormat="1" applyFont="1" applyFill="1" applyBorder="1" applyAlignment="1">
      <alignment horizontal="right" vertical="center"/>
    </xf>
    <xf numFmtId="4" fontId="23" fillId="35" borderId="60" xfId="0" applyNumberFormat="1" applyFont="1" applyFill="1" applyBorder="1" applyAlignment="1">
      <alignment horizontal="right" vertical="center"/>
    </xf>
    <xf numFmtId="171" fontId="21" fillId="35" borderId="13" xfId="308" applyFont="1" applyFill="1" applyBorder="1" applyAlignment="1">
      <alignment horizontal="center" vertical="center" wrapText="1"/>
    </xf>
    <xf numFmtId="171" fontId="21" fillId="35" borderId="14" xfId="308" applyFont="1" applyFill="1" applyBorder="1" applyAlignment="1">
      <alignment horizontal="left" vertical="center" wrapText="1"/>
    </xf>
    <xf numFmtId="171" fontId="21" fillId="35" borderId="14" xfId="308" applyFont="1" applyFill="1" applyBorder="1" applyAlignment="1">
      <alignment horizontal="center" vertical="center"/>
    </xf>
    <xf numFmtId="0" fontId="3" fillId="0" borderId="31" xfId="296" applyFont="1" applyFill="1" applyBorder="1" applyAlignment="1">
      <alignment/>
      <protection/>
    </xf>
    <xf numFmtId="4" fontId="8" fillId="0" borderId="31" xfId="432" applyNumberFormat="1" applyFont="1" applyFill="1" applyBorder="1" applyAlignment="1">
      <alignment horizontal="center" vertical="center"/>
    </xf>
    <xf numFmtId="0" fontId="8" fillId="0" borderId="27" xfId="443" applyNumberFormat="1" applyFont="1" applyFill="1" applyBorder="1" applyAlignment="1">
      <alignment horizontal="center" vertical="center" wrapText="1"/>
    </xf>
    <xf numFmtId="4" fontId="8" fillId="0" borderId="27" xfId="0" applyNumberFormat="1" applyFont="1" applyFill="1" applyBorder="1" applyAlignment="1">
      <alignment vertical="center"/>
    </xf>
    <xf numFmtId="171" fontId="21" fillId="16" borderId="13" xfId="308" applyFont="1" applyFill="1" applyBorder="1" applyAlignment="1">
      <alignment horizontal="left" vertical="center" wrapText="1"/>
    </xf>
    <xf numFmtId="171" fontId="21" fillId="16" borderId="14" xfId="308" applyFont="1" applyFill="1" applyBorder="1" applyAlignment="1">
      <alignment horizontal="left" vertical="center" wrapText="1"/>
    </xf>
    <xf numFmtId="171" fontId="21" fillId="16" borderId="14" xfId="308" applyFont="1" applyFill="1" applyBorder="1" applyAlignment="1">
      <alignment horizontal="center" vertical="center" wrapText="1"/>
    </xf>
    <xf numFmtId="171" fontId="21" fillId="16" borderId="14" xfId="308" applyFont="1" applyFill="1" applyBorder="1" applyAlignment="1">
      <alignment horizontal="center" vertical="center"/>
    </xf>
    <xf numFmtId="2" fontId="80" fillId="16" borderId="20" xfId="0" applyNumberFormat="1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left" vertical="center" wrapText="1"/>
    </xf>
    <xf numFmtId="0" fontId="81" fillId="0" borderId="11" xfId="0" applyFont="1" applyFill="1" applyBorder="1" applyAlignment="1">
      <alignment horizontal="left" vertical="center" wrapText="1"/>
    </xf>
    <xf numFmtId="171" fontId="20" fillId="35" borderId="14" xfId="308" applyFont="1" applyFill="1" applyBorder="1" applyAlignment="1">
      <alignment horizontal="left" vertical="center" wrapText="1"/>
    </xf>
    <xf numFmtId="2" fontId="81" fillId="35" borderId="14" xfId="0" applyNumberFormat="1" applyFont="1" applyFill="1" applyBorder="1" applyAlignment="1">
      <alignment horizontal="center" vertical="center"/>
    </xf>
    <xf numFmtId="2" fontId="80" fillId="35" borderId="20" xfId="0" applyNumberFormat="1" applyFont="1" applyFill="1" applyBorder="1" applyAlignment="1">
      <alignment horizontal="center" vertical="center"/>
    </xf>
    <xf numFmtId="0" fontId="80" fillId="16" borderId="16" xfId="0" applyFont="1" applyFill="1" applyBorder="1" applyAlignment="1">
      <alignment wrapText="1"/>
    </xf>
    <xf numFmtId="0" fontId="78" fillId="0" borderId="11" xfId="0" applyFont="1" applyBorder="1" applyAlignment="1">
      <alignment/>
    </xf>
    <xf numFmtId="0" fontId="18" fillId="0" borderId="0" xfId="299" applyFont="1" applyFill="1" applyBorder="1" applyAlignment="1">
      <alignment horizontal="left" vertical="center" wrapText="1"/>
      <protection/>
    </xf>
    <xf numFmtId="0" fontId="85" fillId="0" borderId="0" xfId="0" applyFont="1" applyBorder="1" applyAlignment="1">
      <alignment horizontal="right" vertical="center" wrapText="1"/>
    </xf>
    <xf numFmtId="0" fontId="87" fillId="0" borderId="12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85" fillId="38" borderId="12" xfId="0" applyFont="1" applyFill="1" applyBorder="1" applyAlignment="1">
      <alignment horizontal="right" vertical="center" wrapText="1"/>
    </xf>
    <xf numFmtId="0" fontId="85" fillId="38" borderId="0" xfId="0" applyFont="1" applyFill="1" applyBorder="1" applyAlignment="1">
      <alignment horizontal="right" vertical="center" wrapText="1"/>
    </xf>
    <xf numFmtId="0" fontId="8" fillId="0" borderId="27" xfId="444" applyNumberFormat="1" applyFont="1" applyFill="1" applyBorder="1" applyAlignment="1">
      <alignment vertical="center" wrapText="1"/>
    </xf>
    <xf numFmtId="0" fontId="8" fillId="0" borderId="21" xfId="443" applyNumberFormat="1" applyFont="1" applyFill="1" applyBorder="1" applyAlignment="1">
      <alignment horizontal="left" vertical="center" wrapText="1"/>
    </xf>
    <xf numFmtId="0" fontId="85" fillId="38" borderId="10" xfId="0" applyFont="1" applyFill="1" applyBorder="1" applyAlignment="1">
      <alignment horizontal="left" vertical="center" wrapText="1"/>
    </xf>
    <xf numFmtId="0" fontId="85" fillId="38" borderId="11" xfId="0" applyFont="1" applyFill="1" applyBorder="1" applyAlignment="1">
      <alignment horizontal="left" vertical="center" wrapText="1"/>
    </xf>
    <xf numFmtId="10" fontId="85" fillId="38" borderId="11" xfId="302" applyNumberFormat="1" applyFont="1" applyFill="1" applyBorder="1" applyAlignment="1">
      <alignment horizontal="left" vertical="center" wrapText="1"/>
    </xf>
    <xf numFmtId="0" fontId="85" fillId="38" borderId="11" xfId="0" applyFont="1" applyFill="1" applyBorder="1" applyAlignment="1">
      <alignment horizontal="right" vertical="center" wrapText="1"/>
    </xf>
    <xf numFmtId="0" fontId="85" fillId="38" borderId="18" xfId="0" applyFont="1" applyFill="1" applyBorder="1" applyAlignment="1">
      <alignment horizontal="right" vertical="center" wrapText="1"/>
    </xf>
    <xf numFmtId="0" fontId="4" fillId="38" borderId="12" xfId="0" applyFont="1" applyFill="1" applyBorder="1" applyAlignment="1">
      <alignment horizontal="right" vertical="center" wrapText="1"/>
    </xf>
    <xf numFmtId="0" fontId="4" fillId="38" borderId="0" xfId="0" applyFont="1" applyFill="1" applyBorder="1" applyAlignment="1">
      <alignment horizontal="right" vertical="center" wrapText="1"/>
    </xf>
    <xf numFmtId="2" fontId="4" fillId="38" borderId="0" xfId="0" applyNumberFormat="1" applyFont="1" applyFill="1" applyBorder="1" applyAlignment="1">
      <alignment vertical="center" wrapText="1"/>
    </xf>
    <xf numFmtId="0" fontId="4" fillId="38" borderId="0" xfId="0" applyFont="1" applyFill="1" applyBorder="1" applyAlignment="1">
      <alignment vertical="center" wrapText="1"/>
    </xf>
    <xf numFmtId="0" fontId="4" fillId="38" borderId="0" xfId="0" applyFont="1" applyFill="1" applyBorder="1" applyAlignment="1">
      <alignment horizontal="right" vertical="center"/>
    </xf>
    <xf numFmtId="0" fontId="4" fillId="38" borderId="1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6" fillId="39" borderId="12" xfId="193" applyFont="1" applyFill="1" applyBorder="1" applyAlignment="1">
      <alignment horizontal="center" vertical="center" wrapText="1"/>
      <protection/>
    </xf>
    <xf numFmtId="0" fontId="86" fillId="39" borderId="0" xfId="193" applyFont="1" applyFill="1" applyBorder="1" applyAlignment="1">
      <alignment horizontal="center" vertical="center" wrapText="1"/>
      <protection/>
    </xf>
    <xf numFmtId="0" fontId="86" fillId="39" borderId="19" xfId="193" applyFont="1" applyFill="1" applyBorder="1" applyAlignment="1">
      <alignment horizontal="center" vertical="center" wrapText="1"/>
      <protection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right" vertical="center" wrapText="1"/>
    </xf>
    <xf numFmtId="2" fontId="3" fillId="0" borderId="19" xfId="0" applyNumberFormat="1" applyFont="1" applyBorder="1" applyAlignment="1">
      <alignment horizontal="right" vertical="center" wrapText="1"/>
    </xf>
    <xf numFmtId="2" fontId="3" fillId="0" borderId="0" xfId="0" applyNumberFormat="1" applyFont="1" applyBorder="1" applyAlignment="1">
      <alignment horizontal="right" vertical="center"/>
    </xf>
    <xf numFmtId="2" fontId="4" fillId="0" borderId="19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2" fontId="3" fillId="0" borderId="0" xfId="0" applyNumberFormat="1" applyFont="1" applyFill="1" applyBorder="1" applyAlignment="1">
      <alignment horizontal="right" vertical="center" wrapText="1"/>
    </xf>
    <xf numFmtId="2" fontId="4" fillId="0" borderId="19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vertical="center"/>
    </xf>
    <xf numFmtId="0" fontId="3" fillId="39" borderId="12" xfId="0" applyFont="1" applyFill="1" applyBorder="1" applyAlignment="1">
      <alignment vertical="center" wrapText="1"/>
    </xf>
    <xf numFmtId="0" fontId="3" fillId="39" borderId="0" xfId="0" applyFont="1" applyFill="1" applyBorder="1" applyAlignment="1">
      <alignment vertical="center" wrapText="1"/>
    </xf>
    <xf numFmtId="0" fontId="3" fillId="39" borderId="19" xfId="0" applyFont="1" applyFill="1" applyBorder="1" applyAlignment="1">
      <alignment vertical="center" wrapText="1"/>
    </xf>
    <xf numFmtId="2" fontId="3" fillId="38" borderId="19" xfId="0" applyNumberFormat="1" applyFont="1" applyFill="1" applyBorder="1" applyAlignment="1">
      <alignment horizontal="right" vertical="center" wrapText="1"/>
    </xf>
    <xf numFmtId="2" fontId="4" fillId="38" borderId="20" xfId="0" applyNumberFormat="1" applyFont="1" applyFill="1" applyBorder="1" applyAlignment="1">
      <alignment horizontal="right" vertical="center" wrapText="1"/>
    </xf>
    <xf numFmtId="0" fontId="3" fillId="34" borderId="12" xfId="0" applyFont="1" applyFill="1" applyBorder="1" applyAlignment="1">
      <alignment horizontal="right" vertical="center" wrapText="1"/>
    </xf>
    <xf numFmtId="0" fontId="3" fillId="34" borderId="0" xfId="0" applyFont="1" applyFill="1" applyBorder="1" applyAlignment="1">
      <alignment horizontal="right" vertical="center" wrapText="1"/>
    </xf>
    <xf numFmtId="2" fontId="4" fillId="34" borderId="19" xfId="0" applyNumberFormat="1" applyFont="1" applyFill="1" applyBorder="1" applyAlignment="1">
      <alignment horizontal="right" vertical="center" wrapText="1"/>
    </xf>
    <xf numFmtId="171" fontId="21" fillId="35" borderId="10" xfId="308" applyFont="1" applyFill="1" applyBorder="1" applyAlignment="1">
      <alignment horizontal="left" vertical="center" wrapText="1"/>
    </xf>
    <xf numFmtId="171" fontId="21" fillId="0" borderId="12" xfId="308" applyFont="1" applyFill="1" applyBorder="1" applyAlignment="1">
      <alignment horizontal="left" vertical="center" wrapText="1"/>
    </xf>
    <xf numFmtId="2" fontId="81" fillId="0" borderId="18" xfId="0" applyNumberFormat="1" applyFont="1" applyFill="1" applyBorder="1" applyAlignment="1">
      <alignment horizontal="center" vertical="center"/>
    </xf>
    <xf numFmtId="171" fontId="20" fillId="0" borderId="0" xfId="308" applyFont="1" applyFill="1" applyBorder="1" applyAlignment="1">
      <alignment horizontal="center" vertical="center"/>
    </xf>
    <xf numFmtId="0" fontId="8" fillId="34" borderId="21" xfId="0" applyNumberFormat="1" applyFont="1" applyFill="1" applyBorder="1" applyAlignment="1">
      <alignment horizontal="left" vertical="center" wrapText="1"/>
    </xf>
    <xf numFmtId="0" fontId="8" fillId="34" borderId="21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right" vertical="center" wrapText="1"/>
    </xf>
    <xf numFmtId="0" fontId="4" fillId="34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4" fontId="14" fillId="0" borderId="61" xfId="298" applyNumberFormat="1" applyFont="1" applyFill="1" applyBorder="1" applyAlignment="1" applyProtection="1">
      <alignment horizontal="center" vertical="center" wrapText="1"/>
      <protection/>
    </xf>
    <xf numFmtId="4" fontId="8" fillId="34" borderId="31" xfId="443" applyNumberFormat="1" applyFont="1" applyFill="1" applyBorder="1" applyAlignment="1">
      <alignment horizontal="right" vertical="center"/>
    </xf>
    <xf numFmtId="4" fontId="23" fillId="34" borderId="31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wrapText="1"/>
    </xf>
    <xf numFmtId="171" fontId="6" fillId="0" borderId="0" xfId="443" applyFont="1" applyAlignment="1">
      <alignment wrapText="1"/>
    </xf>
    <xf numFmtId="171" fontId="3" fillId="33" borderId="0" xfId="443" applyFont="1" applyFill="1" applyBorder="1" applyAlignment="1">
      <alignment/>
    </xf>
    <xf numFmtId="0" fontId="8" fillId="16" borderId="16" xfId="0" applyFont="1" applyFill="1" applyBorder="1" applyAlignment="1" quotePrefix="1">
      <alignment horizontal="center" vertical="center" wrapText="1"/>
    </xf>
    <xf numFmtId="170" fontId="5" fillId="0" borderId="0" xfId="47" applyFont="1" applyAlignment="1">
      <alignment vertical="center" wrapText="1"/>
    </xf>
    <xf numFmtId="2" fontId="14" fillId="0" borderId="62" xfId="301" applyNumberFormat="1" applyFont="1" applyFill="1" applyBorder="1" applyAlignment="1" applyProtection="1">
      <alignment horizontal="center" vertical="center" wrapText="1"/>
      <protection/>
    </xf>
    <xf numFmtId="4" fontId="22" fillId="0" borderId="27" xfId="0" applyNumberFormat="1" applyFont="1" applyFill="1" applyBorder="1" applyAlignment="1">
      <alignment horizontal="center" vertical="center"/>
    </xf>
    <xf numFmtId="0" fontId="23" fillId="0" borderId="15" xfId="0" applyNumberFormat="1" applyFont="1" applyFill="1" applyBorder="1" applyAlignment="1">
      <alignment horizontal="left" vertical="center" wrapText="1"/>
    </xf>
    <xf numFmtId="4" fontId="8" fillId="0" borderId="16" xfId="443" applyNumberFormat="1" applyFont="1" applyFill="1" applyBorder="1" applyAlignment="1">
      <alignment horizontal="right" vertical="center"/>
    </xf>
    <xf numFmtId="171" fontId="8" fillId="0" borderId="27" xfId="443" applyFont="1" applyFill="1" applyBorder="1" applyAlignment="1">
      <alignment vertical="center"/>
    </xf>
    <xf numFmtId="4" fontId="6" fillId="0" borderId="21" xfId="0" applyNumberFormat="1" applyFont="1" applyFill="1" applyBorder="1" applyAlignment="1">
      <alignment horizontal="right" vertical="center" wrapText="1"/>
    </xf>
    <xf numFmtId="10" fontId="23" fillId="0" borderId="27" xfId="0" applyNumberFormat="1" applyFont="1" applyFill="1" applyBorder="1" applyAlignment="1">
      <alignment horizontal="center" vertical="center"/>
    </xf>
    <xf numFmtId="4" fontId="23" fillId="0" borderId="13" xfId="0" applyNumberFormat="1" applyFont="1" applyFill="1" applyBorder="1" applyAlignment="1">
      <alignment horizontal="right" vertical="center"/>
    </xf>
    <xf numFmtId="0" fontId="8" fillId="0" borderId="27" xfId="433" applyNumberFormat="1" applyFont="1" applyFill="1" applyBorder="1" applyAlignment="1">
      <alignment horizontal="left" vertical="center" wrapText="1"/>
    </xf>
    <xf numFmtId="0" fontId="8" fillId="34" borderId="31" xfId="0" applyFont="1" applyFill="1" applyBorder="1" applyAlignment="1">
      <alignment vertical="center" wrapText="1"/>
    </xf>
    <xf numFmtId="0" fontId="8" fillId="34" borderId="31" xfId="0" applyFont="1" applyFill="1" applyBorder="1" applyAlignment="1">
      <alignment horizontal="center" vertical="center" wrapText="1"/>
    </xf>
    <xf numFmtId="0" fontId="8" fillId="34" borderId="31" xfId="0" applyFont="1" applyFill="1" applyBorder="1" applyAlignment="1">
      <alignment horizontal="center" vertical="center"/>
    </xf>
    <xf numFmtId="4" fontId="8" fillId="34" borderId="31" xfId="0" applyNumberFormat="1" applyFont="1" applyFill="1" applyBorder="1" applyAlignment="1">
      <alignment horizontal="right" vertical="center"/>
    </xf>
    <xf numFmtId="0" fontId="8" fillId="34" borderId="31" xfId="0" applyNumberFormat="1" applyFont="1" applyFill="1" applyBorder="1" applyAlignment="1">
      <alignment horizontal="left" vertical="center" wrapText="1"/>
    </xf>
    <xf numFmtId="0" fontId="8" fillId="0" borderId="31" xfId="0" applyNumberFormat="1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 vertical="center"/>
    </xf>
    <xf numFmtId="10" fontId="14" fillId="0" borderId="21" xfId="0" applyNumberFormat="1" applyFont="1" applyFill="1" applyBorder="1" applyAlignment="1">
      <alignment horizontal="center" vertical="center"/>
    </xf>
    <xf numFmtId="0" fontId="22" fillId="35" borderId="63" xfId="0" applyNumberFormat="1" applyFont="1" applyFill="1" applyBorder="1" applyAlignment="1" quotePrefix="1">
      <alignment horizontal="center" vertical="center" wrapText="1"/>
    </xf>
    <xf numFmtId="4" fontId="22" fillId="35" borderId="64" xfId="0" applyNumberFormat="1" applyFont="1" applyFill="1" applyBorder="1" applyAlignment="1">
      <alignment horizontal="center" vertical="center"/>
    </xf>
    <xf numFmtId="0" fontId="11" fillId="0" borderId="65" xfId="296" applyFont="1" applyFill="1" applyBorder="1" applyAlignment="1">
      <alignment vertical="center"/>
      <protection/>
    </xf>
    <xf numFmtId="43" fontId="9" fillId="0" borderId="30" xfId="432" applyNumberFormat="1" applyFont="1" applyFill="1" applyBorder="1" applyAlignment="1">
      <alignment horizontal="right" vertical="center"/>
    </xf>
    <xf numFmtId="43" fontId="9" fillId="0" borderId="32" xfId="432" applyNumberFormat="1" applyFont="1" applyFill="1" applyBorder="1" applyAlignment="1">
      <alignment horizontal="right" vertical="center"/>
    </xf>
    <xf numFmtId="43" fontId="9" fillId="0" borderId="30" xfId="432" applyNumberFormat="1" applyFont="1" applyFill="1" applyBorder="1" applyAlignment="1">
      <alignment horizontal="center" vertical="center"/>
    </xf>
    <xf numFmtId="43" fontId="9" fillId="0" borderId="65" xfId="296" applyNumberFormat="1" applyFont="1" applyFill="1" applyBorder="1" applyAlignment="1">
      <alignment horizontal="right" vertical="center"/>
      <protection/>
    </xf>
    <xf numFmtId="0" fontId="81" fillId="0" borderId="12" xfId="0" applyFont="1" applyBorder="1" applyAlignment="1">
      <alignment horizontal="center" vertical="center" wrapText="1"/>
    </xf>
    <xf numFmtId="0" fontId="80" fillId="16" borderId="15" xfId="0" applyFont="1" applyFill="1" applyBorder="1" applyAlignment="1">
      <alignment horizontal="center" wrapText="1"/>
    </xf>
    <xf numFmtId="0" fontId="81" fillId="0" borderId="12" xfId="0" applyFont="1" applyFill="1" applyBorder="1" applyAlignment="1">
      <alignment horizontal="center" wrapText="1"/>
    </xf>
    <xf numFmtId="0" fontId="87" fillId="0" borderId="12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85" fillId="38" borderId="12" xfId="0" applyFont="1" applyFill="1" applyBorder="1" applyAlignment="1">
      <alignment horizontal="right" vertical="center" wrapText="1"/>
    </xf>
    <xf numFmtId="0" fontId="85" fillId="38" borderId="0" xfId="0" applyFont="1" applyFill="1" applyBorder="1" applyAlignment="1">
      <alignment horizontal="right" vertical="center" wrapText="1"/>
    </xf>
    <xf numFmtId="0" fontId="23" fillId="34" borderId="31" xfId="0" applyNumberFormat="1" applyFont="1" applyFill="1" applyBorder="1" applyAlignment="1" quotePrefix="1">
      <alignment horizontal="center" vertical="center" wrapText="1"/>
    </xf>
    <xf numFmtId="0" fontId="22" fillId="35" borderId="22" xfId="0" applyNumberFormat="1" applyFont="1" applyFill="1" applyBorder="1" applyAlignment="1" quotePrefix="1">
      <alignment horizontal="left" vertical="center" wrapText="1"/>
    </xf>
    <xf numFmtId="0" fontId="22" fillId="35" borderId="23" xfId="0" applyNumberFormat="1" applyFont="1" applyFill="1" applyBorder="1" applyAlignment="1" quotePrefix="1">
      <alignment horizontal="left" vertical="center" wrapText="1"/>
    </xf>
    <xf numFmtId="0" fontId="25" fillId="41" borderId="0" xfId="299" applyFont="1" applyFill="1" applyBorder="1" applyAlignment="1">
      <alignment horizontal="justify" vertical="center" wrapText="1"/>
      <protection/>
    </xf>
    <xf numFmtId="4" fontId="14" fillId="0" borderId="61" xfId="298" applyNumberFormat="1" applyFont="1" applyFill="1" applyBorder="1" applyAlignment="1" applyProtection="1">
      <alignment horizontal="center" vertical="center" wrapText="1"/>
      <protection/>
    </xf>
    <xf numFmtId="4" fontId="14" fillId="0" borderId="62" xfId="298" applyNumberFormat="1" applyFont="1" applyFill="1" applyBorder="1" applyAlignment="1" applyProtection="1">
      <alignment horizontal="center" vertical="center" wrapText="1"/>
      <protection/>
    </xf>
    <xf numFmtId="0" fontId="14" fillId="0" borderId="42" xfId="51" applyNumberFormat="1" applyFont="1" applyFill="1" applyBorder="1" applyAlignment="1">
      <alignment horizontal="center" vertical="center" wrapText="1"/>
      <protection/>
    </xf>
    <xf numFmtId="0" fontId="14" fillId="0" borderId="44" xfId="51" applyNumberFormat="1" applyFont="1" applyFill="1" applyBorder="1" applyAlignment="1">
      <alignment horizontal="center" vertical="center" wrapText="1"/>
      <protection/>
    </xf>
    <xf numFmtId="0" fontId="8" fillId="0" borderId="0" xfId="299" applyFont="1" applyFill="1" applyBorder="1" applyAlignment="1">
      <alignment horizontal="left" vertical="center" wrapText="1"/>
      <protection/>
    </xf>
    <xf numFmtId="0" fontId="14" fillId="0" borderId="61" xfId="298" applyNumberFormat="1" applyFont="1" applyFill="1" applyBorder="1" applyAlignment="1" applyProtection="1">
      <alignment horizontal="center" vertical="center" wrapText="1"/>
      <protection/>
    </xf>
    <xf numFmtId="0" fontId="14" fillId="0" borderId="62" xfId="298" applyNumberFormat="1" applyFont="1" applyFill="1" applyBorder="1" applyAlignment="1" applyProtection="1">
      <alignment horizontal="center" vertical="center" wrapText="1"/>
      <protection/>
    </xf>
    <xf numFmtId="4" fontId="14" fillId="0" borderId="59" xfId="298" applyNumberFormat="1" applyFont="1" applyFill="1" applyBorder="1" applyAlignment="1" applyProtection="1">
      <alignment horizontal="center" vertical="center" wrapText="1"/>
      <protection/>
    </xf>
    <xf numFmtId="4" fontId="14" fillId="0" borderId="55" xfId="298" applyNumberFormat="1" applyFont="1" applyFill="1" applyBorder="1" applyAlignment="1" applyProtection="1">
      <alignment horizontal="center" vertical="center" wrapText="1"/>
      <protection/>
    </xf>
    <xf numFmtId="4" fontId="14" fillId="34" borderId="61" xfId="298" applyNumberFormat="1" applyFont="1" applyFill="1" applyBorder="1" applyAlignment="1" applyProtection="1">
      <alignment horizontal="center" vertical="center" wrapText="1"/>
      <protection/>
    </xf>
    <xf numFmtId="4" fontId="14" fillId="34" borderId="62" xfId="298" applyNumberFormat="1" applyFont="1" applyFill="1" applyBorder="1" applyAlignment="1" applyProtection="1">
      <alignment horizontal="center" vertical="center" wrapText="1"/>
      <protection/>
    </xf>
    <xf numFmtId="0" fontId="14" fillId="0" borderId="59" xfId="298" applyNumberFormat="1" applyFont="1" applyFill="1" applyBorder="1" applyAlignment="1" applyProtection="1">
      <alignment horizontal="center" vertical="center" wrapText="1"/>
      <protection/>
    </xf>
    <xf numFmtId="0" fontId="14" fillId="0" borderId="55" xfId="298" applyNumberFormat="1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10" fontId="14" fillId="0" borderId="61" xfId="298" applyNumberFormat="1" applyFont="1" applyFill="1" applyBorder="1" applyAlignment="1" applyProtection="1">
      <alignment horizontal="center" vertical="center" wrapText="1"/>
      <protection/>
    </xf>
    <xf numFmtId="10" fontId="14" fillId="0" borderId="62" xfId="298" applyNumberFormat="1" applyFont="1" applyFill="1" applyBorder="1" applyAlignment="1" applyProtection="1">
      <alignment horizontal="center" vertical="center" wrapText="1"/>
      <protection/>
    </xf>
    <xf numFmtId="172" fontId="3" fillId="0" borderId="0" xfId="51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172" fontId="12" fillId="37" borderId="22" xfId="51" applyNumberFormat="1" applyFont="1" applyFill="1" applyBorder="1" applyAlignment="1">
      <alignment horizontal="center" vertical="center" wrapText="1"/>
      <protection/>
    </xf>
    <xf numFmtId="172" fontId="12" fillId="37" borderId="23" xfId="51" applyNumberFormat="1" applyFont="1" applyFill="1" applyBorder="1" applyAlignment="1">
      <alignment horizontal="center" vertical="center" wrapText="1"/>
      <protection/>
    </xf>
    <xf numFmtId="172" fontId="12" fillId="37" borderId="24" xfId="51" applyNumberFormat="1" applyFont="1" applyFill="1" applyBorder="1" applyAlignment="1">
      <alignment horizontal="center" vertical="center" wrapText="1"/>
      <protection/>
    </xf>
    <xf numFmtId="172" fontId="8" fillId="0" borderId="15" xfId="51" applyNumberFormat="1" applyFont="1" applyFill="1" applyBorder="1" applyAlignment="1">
      <alignment horizontal="left" vertical="center" wrapText="1"/>
      <protection/>
    </xf>
    <xf numFmtId="172" fontId="8" fillId="0" borderId="16" xfId="51" applyNumberFormat="1" applyFont="1" applyFill="1" applyBorder="1" applyAlignment="1">
      <alignment horizontal="left" vertical="center" wrapText="1"/>
      <protection/>
    </xf>
    <xf numFmtId="172" fontId="8" fillId="0" borderId="17" xfId="51" applyNumberFormat="1" applyFont="1" applyFill="1" applyBorder="1" applyAlignment="1">
      <alignment horizontal="left" vertical="center" wrapText="1"/>
      <protection/>
    </xf>
    <xf numFmtId="172" fontId="12" fillId="0" borderId="15" xfId="51" applyNumberFormat="1" applyFont="1" applyFill="1" applyBorder="1" applyAlignment="1">
      <alignment horizontal="center" vertical="center" wrapText="1"/>
      <protection/>
    </xf>
    <xf numFmtId="172" fontId="12" fillId="0" borderId="16" xfId="51" applyNumberFormat="1" applyFont="1" applyFill="1" applyBorder="1" applyAlignment="1">
      <alignment horizontal="center" vertical="center" wrapText="1"/>
      <protection/>
    </xf>
    <xf numFmtId="172" fontId="12" fillId="0" borderId="17" xfId="51" applyNumberFormat="1" applyFont="1" applyFill="1" applyBorder="1" applyAlignment="1">
      <alignment horizontal="center" vertical="center" wrapText="1"/>
      <protection/>
    </xf>
    <xf numFmtId="0" fontId="19" fillId="0" borderId="59" xfId="296" applyFont="1" applyFill="1" applyBorder="1" applyAlignment="1">
      <alignment horizontal="center" vertical="center" wrapText="1"/>
      <protection/>
    </xf>
    <xf numFmtId="0" fontId="19" fillId="0" borderId="55" xfId="296" applyFont="1" applyFill="1" applyBorder="1" applyAlignment="1">
      <alignment horizontal="center" vertical="center" wrapText="1"/>
      <protection/>
    </xf>
    <xf numFmtId="172" fontId="3" fillId="0" borderId="15" xfId="51" applyNumberFormat="1" applyFont="1" applyFill="1" applyBorder="1" applyAlignment="1">
      <alignment horizontal="left" vertical="center" wrapText="1"/>
      <protection/>
    </xf>
    <xf numFmtId="172" fontId="3" fillId="0" borderId="16" xfId="51" applyNumberFormat="1" applyFont="1" applyFill="1" applyBorder="1" applyAlignment="1">
      <alignment horizontal="left" vertical="center" wrapText="1"/>
      <protection/>
    </xf>
    <xf numFmtId="172" fontId="3" fillId="0" borderId="17" xfId="51" applyNumberFormat="1" applyFont="1" applyFill="1" applyBorder="1" applyAlignment="1">
      <alignment horizontal="left" vertical="center" wrapText="1"/>
      <protection/>
    </xf>
    <xf numFmtId="0" fontId="19" fillId="0" borderId="61" xfId="296" applyFont="1" applyFill="1" applyBorder="1" applyAlignment="1">
      <alignment horizontal="center" vertical="center" wrapText="1"/>
      <protection/>
    </xf>
    <xf numFmtId="0" fontId="19" fillId="0" borderId="62" xfId="296" applyFont="1" applyFill="1" applyBorder="1" applyAlignment="1">
      <alignment horizontal="center" vertical="center" wrapText="1"/>
      <protection/>
    </xf>
    <xf numFmtId="0" fontId="2" fillId="34" borderId="0" xfId="299" applyNumberFormat="1" applyFont="1" applyFill="1" applyBorder="1" applyAlignment="1">
      <alignment horizontal="left" vertical="top" wrapText="1"/>
      <protection/>
    </xf>
    <xf numFmtId="0" fontId="19" fillId="0" borderId="66" xfId="296" applyFont="1" applyFill="1" applyBorder="1" applyAlignment="1">
      <alignment horizontal="center" vertical="center" wrapText="1"/>
      <protection/>
    </xf>
    <xf numFmtId="0" fontId="19" fillId="0" borderId="47" xfId="296" applyFont="1" applyFill="1" applyBorder="1" applyAlignment="1">
      <alignment horizontal="center" vertical="center" wrapText="1"/>
      <protection/>
    </xf>
    <xf numFmtId="0" fontId="3" fillId="0" borderId="0" xfId="299" applyFont="1" applyFill="1" applyBorder="1" applyAlignment="1">
      <alignment horizontal="left" vertical="center" wrapText="1"/>
      <protection/>
    </xf>
    <xf numFmtId="0" fontId="2" fillId="34" borderId="0" xfId="299" applyFont="1" applyFill="1" applyBorder="1" applyAlignment="1">
      <alignment horizontal="left" vertical="top"/>
      <protection/>
    </xf>
    <xf numFmtId="172" fontId="4" fillId="0" borderId="15" xfId="51" applyNumberFormat="1" applyFont="1" applyFill="1" applyBorder="1" applyAlignment="1">
      <alignment horizontal="center" vertical="center" wrapText="1"/>
      <protection/>
    </xf>
    <xf numFmtId="172" fontId="4" fillId="0" borderId="16" xfId="51" applyNumberFormat="1" applyFont="1" applyFill="1" applyBorder="1" applyAlignment="1">
      <alignment horizontal="center" vertical="center" wrapText="1"/>
      <protection/>
    </xf>
    <xf numFmtId="172" fontId="4" fillId="0" borderId="17" xfId="51" applyNumberFormat="1" applyFont="1" applyFill="1" applyBorder="1" applyAlignment="1">
      <alignment horizontal="center" vertical="center" wrapText="1"/>
      <protection/>
    </xf>
    <xf numFmtId="0" fontId="3" fillId="34" borderId="0" xfId="299" applyFont="1" applyFill="1" applyBorder="1" applyAlignment="1">
      <alignment horizontal="left"/>
      <protection/>
    </xf>
    <xf numFmtId="0" fontId="19" fillId="0" borderId="67" xfId="296" applyFont="1" applyFill="1" applyBorder="1" applyAlignment="1">
      <alignment horizontal="center" vertical="center" wrapText="1"/>
      <protection/>
    </xf>
    <xf numFmtId="0" fontId="19" fillId="0" borderId="68" xfId="296" applyFont="1" applyFill="1" applyBorder="1" applyAlignment="1">
      <alignment horizontal="center" vertical="center" wrapText="1"/>
      <protection/>
    </xf>
    <xf numFmtId="0" fontId="4" fillId="0" borderId="2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4" fillId="37" borderId="22" xfId="296" applyFont="1" applyFill="1" applyBorder="1" applyAlignment="1">
      <alignment horizontal="center" vertical="center"/>
      <protection/>
    </xf>
    <xf numFmtId="0" fontId="4" fillId="37" borderId="23" xfId="296" applyFont="1" applyFill="1" applyBorder="1" applyAlignment="1">
      <alignment horizontal="center" vertical="center"/>
      <protection/>
    </xf>
    <xf numFmtId="0" fontId="4" fillId="37" borderId="24" xfId="296" applyFont="1" applyFill="1" applyBorder="1" applyAlignment="1">
      <alignment horizontal="center" vertical="center"/>
      <protection/>
    </xf>
    <xf numFmtId="0" fontId="80" fillId="37" borderId="22" xfId="0" applyFont="1" applyFill="1" applyBorder="1" applyAlignment="1">
      <alignment horizontal="center" vertical="center"/>
    </xf>
    <xf numFmtId="0" fontId="80" fillId="37" borderId="23" xfId="0" applyFont="1" applyFill="1" applyBorder="1" applyAlignment="1">
      <alignment horizontal="center" vertical="center"/>
    </xf>
    <xf numFmtId="0" fontId="80" fillId="37" borderId="24" xfId="0" applyFont="1" applyFill="1" applyBorder="1" applyAlignment="1">
      <alignment horizontal="center" vertical="center"/>
    </xf>
    <xf numFmtId="0" fontId="78" fillId="0" borderId="10" xfId="0" applyFont="1" applyBorder="1" applyAlignment="1">
      <alignment horizontal="center"/>
    </xf>
    <xf numFmtId="0" fontId="78" fillId="0" borderId="18" xfId="0" applyFont="1" applyBorder="1" applyAlignment="1">
      <alignment horizontal="center"/>
    </xf>
    <xf numFmtId="0" fontId="78" fillId="0" borderId="12" xfId="0" applyFont="1" applyBorder="1" applyAlignment="1">
      <alignment horizontal="center"/>
    </xf>
    <xf numFmtId="0" fontId="78" fillId="0" borderId="19" xfId="0" applyFont="1" applyBorder="1" applyAlignment="1">
      <alignment horizontal="center"/>
    </xf>
    <xf numFmtId="0" fontId="78" fillId="0" borderId="13" xfId="0" applyFont="1" applyBorder="1" applyAlignment="1">
      <alignment horizontal="center"/>
    </xf>
    <xf numFmtId="0" fontId="78" fillId="0" borderId="20" xfId="0" applyFont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8" fillId="0" borderId="0" xfId="299" applyFont="1" applyFill="1" applyBorder="1" applyAlignment="1">
      <alignment horizontal="left" vertical="center" wrapText="1"/>
      <protection/>
    </xf>
    <xf numFmtId="0" fontId="17" fillId="0" borderId="1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2" fontId="18" fillId="0" borderId="21" xfId="52" applyNumberFormat="1" applyFont="1" applyFill="1" applyBorder="1" applyAlignment="1">
      <alignment horizontal="left" vertical="center" wrapText="1"/>
      <protection/>
    </xf>
    <xf numFmtId="0" fontId="20" fillId="0" borderId="21" xfId="0" applyNumberFormat="1" applyFont="1" applyFill="1" applyBorder="1" applyAlignment="1">
      <alignment horizontal="left" vertical="center" wrapText="1"/>
    </xf>
    <xf numFmtId="172" fontId="12" fillId="0" borderId="21" xfId="52" applyNumberFormat="1" applyFont="1" applyFill="1" applyBorder="1" applyAlignment="1">
      <alignment horizontal="left" vertical="center" wrapText="1"/>
      <protection/>
    </xf>
    <xf numFmtId="172" fontId="17" fillId="0" borderId="21" xfId="52" applyNumberFormat="1" applyFont="1" applyFill="1" applyBorder="1" applyAlignment="1">
      <alignment horizontal="center" vertical="center" wrapText="1"/>
      <protection/>
    </xf>
    <xf numFmtId="0" fontId="87" fillId="0" borderId="12" xfId="0" applyFont="1" applyBorder="1" applyAlignment="1">
      <alignment horizontal="right" vertical="center" wrapText="1"/>
    </xf>
    <xf numFmtId="0" fontId="87" fillId="0" borderId="0" xfId="0" applyFont="1" applyBorder="1" applyAlignment="1">
      <alignment horizontal="right" vertical="center" wrapText="1"/>
    </xf>
    <xf numFmtId="0" fontId="87" fillId="0" borderId="13" xfId="0" applyFont="1" applyBorder="1" applyAlignment="1">
      <alignment horizontal="right" vertical="center" wrapText="1"/>
    </xf>
    <xf numFmtId="0" fontId="87" fillId="0" borderId="14" xfId="0" applyFont="1" applyBorder="1" applyAlignment="1">
      <alignment horizontal="right" vertical="center" wrapText="1"/>
    </xf>
    <xf numFmtId="0" fontId="87" fillId="0" borderId="0" xfId="0" applyFont="1" applyBorder="1" applyAlignment="1">
      <alignment horizontal="left" vertical="center" wrapText="1"/>
    </xf>
    <xf numFmtId="0" fontId="85" fillId="0" borderId="12" xfId="0" applyFont="1" applyBorder="1" applyAlignment="1">
      <alignment horizontal="right" vertical="center" wrapText="1"/>
    </xf>
    <xf numFmtId="0" fontId="85" fillId="0" borderId="0" xfId="0" applyFont="1" applyBorder="1" applyAlignment="1">
      <alignment horizontal="right" vertical="center" wrapText="1"/>
    </xf>
    <xf numFmtId="0" fontId="87" fillId="38" borderId="12" xfId="0" applyFont="1" applyFill="1" applyBorder="1" applyAlignment="1">
      <alignment horizontal="center" vertical="center" wrapText="1"/>
    </xf>
    <xf numFmtId="0" fontId="87" fillId="38" borderId="0" xfId="0" applyFont="1" applyFill="1" applyBorder="1" applyAlignment="1">
      <alignment horizontal="center" vertical="center" wrapText="1"/>
    </xf>
    <xf numFmtId="0" fontId="87" fillId="38" borderId="19" xfId="0" applyFont="1" applyFill="1" applyBorder="1" applyAlignment="1">
      <alignment horizontal="center" vertical="center" wrapText="1"/>
    </xf>
    <xf numFmtId="0" fontId="87" fillId="39" borderId="12" xfId="0" applyFont="1" applyFill="1" applyBorder="1" applyAlignment="1">
      <alignment vertical="center" wrapText="1"/>
    </xf>
    <xf numFmtId="0" fontId="87" fillId="39" borderId="0" xfId="0" applyFont="1" applyFill="1" applyBorder="1" applyAlignment="1">
      <alignment vertical="center" wrapText="1"/>
    </xf>
    <xf numFmtId="0" fontId="87" fillId="39" borderId="19" xfId="0" applyFont="1" applyFill="1" applyBorder="1" applyAlignment="1">
      <alignment vertical="center" wrapText="1"/>
    </xf>
    <xf numFmtId="0" fontId="86" fillId="39" borderId="10" xfId="0" applyFont="1" applyFill="1" applyBorder="1" applyAlignment="1">
      <alignment horizontal="left" vertical="center" wrapText="1"/>
    </xf>
    <xf numFmtId="0" fontId="86" fillId="39" borderId="11" xfId="0" applyFont="1" applyFill="1" applyBorder="1" applyAlignment="1">
      <alignment horizontal="left" vertical="center" wrapText="1"/>
    </xf>
    <xf numFmtId="0" fontId="86" fillId="39" borderId="18" xfId="0" applyFont="1" applyFill="1" applyBorder="1" applyAlignment="1">
      <alignment horizontal="left" vertical="center" wrapText="1"/>
    </xf>
    <xf numFmtId="0" fontId="85" fillId="38" borderId="12" xfId="0" applyFont="1" applyFill="1" applyBorder="1" applyAlignment="1">
      <alignment horizontal="right" vertical="center" wrapText="1"/>
    </xf>
    <xf numFmtId="0" fontId="85" fillId="38" borderId="0" xfId="0" applyFont="1" applyFill="1" applyBorder="1" applyAlignment="1">
      <alignment horizontal="right" vertical="center" wrapText="1"/>
    </xf>
    <xf numFmtId="0" fontId="87" fillId="0" borderId="12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87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3" fillId="38" borderId="0" xfId="0" applyFont="1" applyFill="1" applyBorder="1" applyAlignment="1">
      <alignment horizontal="center" vertical="center" wrapText="1"/>
    </xf>
    <xf numFmtId="0" fontId="3" fillId="38" borderId="1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7" fillId="0" borderId="0" xfId="0" applyFont="1" applyBorder="1" applyAlignment="1">
      <alignment vertical="center" wrapText="1"/>
    </xf>
    <xf numFmtId="0" fontId="6" fillId="34" borderId="0" xfId="0" applyFont="1" applyFill="1" applyAlignment="1">
      <alignment horizontal="left" vertical="center" wrapText="1"/>
    </xf>
    <xf numFmtId="0" fontId="85" fillId="38" borderId="15" xfId="0" applyFont="1" applyFill="1" applyBorder="1" applyAlignment="1">
      <alignment horizontal="left" vertical="center" wrapText="1"/>
    </xf>
    <xf numFmtId="0" fontId="85" fillId="38" borderId="16" xfId="0" applyFont="1" applyFill="1" applyBorder="1" applyAlignment="1">
      <alignment horizontal="left" vertical="center" wrapText="1"/>
    </xf>
    <xf numFmtId="10" fontId="85" fillId="38" borderId="16" xfId="302" applyNumberFormat="1" applyFont="1" applyFill="1" applyBorder="1" applyAlignment="1">
      <alignment horizontal="left" vertical="center" wrapText="1"/>
    </xf>
    <xf numFmtId="0" fontId="85" fillId="38" borderId="16" xfId="0" applyFont="1" applyFill="1" applyBorder="1" applyAlignment="1">
      <alignment horizontal="right" vertical="center" wrapText="1"/>
    </xf>
    <xf numFmtId="0" fontId="85" fillId="38" borderId="17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172" fontId="3" fillId="0" borderId="15" xfId="52" applyNumberFormat="1" applyFont="1" applyFill="1" applyBorder="1" applyAlignment="1">
      <alignment horizontal="left" vertical="center" wrapText="1"/>
      <protection/>
    </xf>
    <xf numFmtId="172" fontId="3" fillId="0" borderId="16" xfId="52" applyNumberFormat="1" applyFont="1" applyFill="1" applyBorder="1" applyAlignment="1">
      <alignment horizontal="left" vertical="center" wrapText="1"/>
      <protection/>
    </xf>
    <xf numFmtId="172" fontId="3" fillId="0" borderId="17" xfId="52" applyNumberFormat="1" applyFont="1" applyFill="1" applyBorder="1" applyAlignment="1">
      <alignment horizontal="left" vertical="center" wrapText="1"/>
      <protection/>
    </xf>
    <xf numFmtId="0" fontId="6" fillId="0" borderId="15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0" fontId="6" fillId="0" borderId="17" xfId="0" applyNumberFormat="1" applyFont="1" applyFill="1" applyBorder="1" applyAlignment="1">
      <alignment horizontal="left" vertical="center" wrapText="1"/>
    </xf>
    <xf numFmtId="172" fontId="14" fillId="0" borderId="15" xfId="52" applyNumberFormat="1" applyFont="1" applyFill="1" applyBorder="1" applyAlignment="1">
      <alignment horizontal="left" vertical="center" wrapText="1"/>
      <protection/>
    </xf>
    <xf numFmtId="172" fontId="14" fillId="0" borderId="16" xfId="52" applyNumberFormat="1" applyFont="1" applyFill="1" applyBorder="1" applyAlignment="1">
      <alignment horizontal="left" vertical="center" wrapText="1"/>
      <protection/>
    </xf>
    <xf numFmtId="172" fontId="14" fillId="0" borderId="17" xfId="52" applyNumberFormat="1" applyFont="1" applyFill="1" applyBorder="1" applyAlignment="1">
      <alignment horizontal="left" vertical="center" wrapText="1"/>
      <protection/>
    </xf>
    <xf numFmtId="172" fontId="4" fillId="37" borderId="22" xfId="52" applyNumberFormat="1" applyFont="1" applyFill="1" applyBorder="1" applyAlignment="1">
      <alignment horizontal="center" vertical="center" wrapText="1"/>
      <protection/>
    </xf>
    <xf numFmtId="172" fontId="4" fillId="37" borderId="23" xfId="52" applyNumberFormat="1" applyFont="1" applyFill="1" applyBorder="1" applyAlignment="1">
      <alignment horizontal="center" vertical="center" wrapText="1"/>
      <protection/>
    </xf>
    <xf numFmtId="172" fontId="4" fillId="37" borderId="24" xfId="52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left" wrapText="1"/>
    </xf>
    <xf numFmtId="0" fontId="86" fillId="39" borderId="10" xfId="193" applyFont="1" applyFill="1" applyBorder="1" applyAlignment="1">
      <alignment horizontal="left" vertical="center" wrapText="1"/>
      <protection/>
    </xf>
    <xf numFmtId="0" fontId="86" fillId="39" borderId="11" xfId="193" applyFont="1" applyFill="1" applyBorder="1" applyAlignment="1">
      <alignment horizontal="left" vertical="center" wrapText="1"/>
      <protection/>
    </xf>
    <xf numFmtId="0" fontId="86" fillId="39" borderId="18" xfId="193" applyFont="1" applyFill="1" applyBorder="1" applyAlignment="1">
      <alignment horizontal="left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2" fontId="83" fillId="34" borderId="22" xfId="0" applyNumberFormat="1" applyFont="1" applyFill="1" applyBorder="1" applyAlignment="1">
      <alignment horizontal="center" vertical="top" wrapText="1"/>
    </xf>
    <xf numFmtId="2" fontId="83" fillId="34" borderId="23" xfId="0" applyNumberFormat="1" applyFont="1" applyFill="1" applyBorder="1" applyAlignment="1">
      <alignment horizontal="center" vertical="top" wrapText="1"/>
    </xf>
    <xf numFmtId="2" fontId="83" fillId="34" borderId="24" xfId="0" applyNumberFormat="1" applyFont="1" applyFill="1" applyBorder="1" applyAlignment="1">
      <alignment horizontal="center" vertical="top" wrapText="1"/>
    </xf>
    <xf numFmtId="0" fontId="83" fillId="34" borderId="22" xfId="0" applyFont="1" applyFill="1" applyBorder="1" applyAlignment="1">
      <alignment horizontal="left" vertical="top" wrapText="1"/>
    </xf>
    <xf numFmtId="0" fontId="83" fillId="34" borderId="23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83" fillId="34" borderId="0" xfId="0" applyFont="1" applyFill="1" applyBorder="1" applyAlignment="1">
      <alignment horizontal="center" vertical="top" wrapText="1"/>
    </xf>
    <xf numFmtId="172" fontId="2" fillId="0" borderId="15" xfId="51" applyNumberFormat="1" applyFont="1" applyFill="1" applyBorder="1" applyAlignment="1">
      <alignment horizontal="left" vertical="center" wrapText="1"/>
      <protection/>
    </xf>
    <xf numFmtId="172" fontId="2" fillId="0" borderId="17" xfId="51" applyNumberFormat="1" applyFont="1" applyFill="1" applyBorder="1" applyAlignment="1">
      <alignment horizontal="left" vertical="center" wrapText="1"/>
      <protection/>
    </xf>
    <xf numFmtId="172" fontId="16" fillId="0" borderId="21" xfId="51" applyNumberFormat="1" applyFont="1" applyFill="1" applyBorder="1" applyAlignment="1">
      <alignment horizontal="left" vertical="center" wrapText="1"/>
      <protection/>
    </xf>
    <xf numFmtId="172" fontId="2" fillId="0" borderId="21" xfId="51" applyNumberFormat="1" applyFont="1" applyFill="1" applyBorder="1" applyAlignment="1">
      <alignment horizontal="left" vertical="center" wrapText="1"/>
      <protection/>
    </xf>
    <xf numFmtId="172" fontId="14" fillId="0" borderId="21" xfId="51" applyNumberFormat="1" applyFont="1" applyFill="1" applyBorder="1" applyAlignment="1">
      <alignment horizontal="center" vertical="center" wrapText="1"/>
      <protection/>
    </xf>
    <xf numFmtId="172" fontId="12" fillId="37" borderId="33" xfId="51" applyNumberFormat="1" applyFont="1" applyFill="1" applyBorder="1" applyAlignment="1">
      <alignment horizontal="center" vertical="center" wrapText="1"/>
      <protection/>
    </xf>
    <xf numFmtId="172" fontId="12" fillId="37" borderId="34" xfId="51" applyNumberFormat="1" applyFont="1" applyFill="1" applyBorder="1" applyAlignment="1">
      <alignment horizontal="center" vertical="center" wrapText="1"/>
      <protection/>
    </xf>
    <xf numFmtId="172" fontId="12" fillId="37" borderId="35" xfId="51" applyNumberFormat="1" applyFont="1" applyFill="1" applyBorder="1" applyAlignment="1">
      <alignment horizontal="center" vertical="center" wrapText="1"/>
      <protection/>
    </xf>
    <xf numFmtId="0" fontId="90" fillId="34" borderId="22" xfId="0" applyFont="1" applyFill="1" applyBorder="1" applyAlignment="1">
      <alignment horizontal="center" vertical="center" wrapText="1"/>
    </xf>
    <xf numFmtId="0" fontId="90" fillId="34" borderId="23" xfId="0" applyFont="1" applyFill="1" applyBorder="1" applyAlignment="1">
      <alignment horizontal="center" vertical="center" wrapText="1"/>
    </xf>
    <xf numFmtId="0" fontId="90" fillId="34" borderId="22" xfId="0" applyFont="1" applyFill="1" applyBorder="1" applyAlignment="1">
      <alignment horizontal="center" vertical="top" wrapText="1"/>
    </xf>
    <xf numFmtId="0" fontId="90" fillId="34" borderId="23" xfId="0" applyFont="1" applyFill="1" applyBorder="1" applyAlignment="1">
      <alignment horizontal="center" vertical="top" wrapText="1"/>
    </xf>
    <xf numFmtId="0" fontId="90" fillId="34" borderId="24" xfId="0" applyFont="1" applyFill="1" applyBorder="1" applyAlignment="1">
      <alignment horizontal="center" vertical="top" wrapText="1"/>
    </xf>
    <xf numFmtId="172" fontId="16" fillId="0" borderId="15" xfId="51" applyNumberFormat="1" applyFont="1" applyFill="1" applyBorder="1" applyAlignment="1">
      <alignment horizontal="left" vertical="center" wrapText="1"/>
      <protection/>
    </xf>
    <xf numFmtId="172" fontId="16" fillId="0" borderId="16" xfId="51" applyNumberFormat="1" applyFont="1" applyFill="1" applyBorder="1" applyAlignment="1">
      <alignment horizontal="left" vertical="center" wrapText="1"/>
      <protection/>
    </xf>
    <xf numFmtId="172" fontId="16" fillId="0" borderId="17" xfId="51" applyNumberFormat="1" applyFont="1" applyFill="1" applyBorder="1" applyAlignment="1">
      <alignment horizontal="left" vertical="center" wrapText="1"/>
      <protection/>
    </xf>
    <xf numFmtId="172" fontId="4" fillId="0" borderId="13" xfId="51" applyNumberFormat="1" applyFont="1" applyFill="1" applyBorder="1" applyAlignment="1">
      <alignment horizontal="center" vertical="center" wrapText="1"/>
      <protection/>
    </xf>
    <xf numFmtId="172" fontId="4" fillId="0" borderId="14" xfId="51" applyNumberFormat="1" applyFont="1" applyFill="1" applyBorder="1" applyAlignment="1">
      <alignment horizontal="center" vertical="center" wrapText="1"/>
      <protection/>
    </xf>
    <xf numFmtId="172" fontId="4" fillId="0" borderId="20" xfId="51" applyNumberFormat="1" applyFont="1" applyFill="1" applyBorder="1" applyAlignment="1">
      <alignment horizontal="center" vertical="center" wrapText="1"/>
      <protection/>
    </xf>
    <xf numFmtId="172" fontId="2" fillId="0" borderId="16" xfId="51" applyNumberFormat="1" applyFont="1" applyFill="1" applyBorder="1" applyAlignment="1">
      <alignment horizontal="left" vertical="center" wrapText="1"/>
      <protection/>
    </xf>
    <xf numFmtId="172" fontId="2" fillId="0" borderId="13" xfId="51" applyNumberFormat="1" applyFont="1" applyFill="1" applyBorder="1" applyAlignment="1">
      <alignment horizontal="left" vertical="center" wrapText="1"/>
      <protection/>
    </xf>
    <xf numFmtId="172" fontId="2" fillId="0" borderId="14" xfId="51" applyNumberFormat="1" applyFont="1" applyFill="1" applyBorder="1" applyAlignment="1">
      <alignment horizontal="left" vertical="center" wrapText="1"/>
      <protection/>
    </xf>
    <xf numFmtId="172" fontId="2" fillId="0" borderId="20" xfId="51" applyNumberFormat="1" applyFont="1" applyFill="1" applyBorder="1" applyAlignment="1">
      <alignment horizontal="left" vertical="center" wrapText="1"/>
      <protection/>
    </xf>
    <xf numFmtId="0" fontId="0" fillId="0" borderId="21" xfId="227" applyFont="1" applyBorder="1" applyAlignment="1">
      <alignment horizontal="left"/>
      <protection/>
    </xf>
    <xf numFmtId="0" fontId="0" fillId="0" borderId="15" xfId="227" applyFont="1" applyBorder="1" applyAlignment="1">
      <alignment horizontal="left" wrapText="1"/>
      <protection/>
    </xf>
    <xf numFmtId="0" fontId="0" fillId="0" borderId="16" xfId="227" applyFont="1" applyBorder="1" applyAlignment="1">
      <alignment horizontal="left" wrapText="1"/>
      <protection/>
    </xf>
    <xf numFmtId="0" fontId="0" fillId="0" borderId="17" xfId="227" applyFont="1" applyBorder="1" applyAlignment="1">
      <alignment horizontal="left" wrapText="1"/>
      <protection/>
    </xf>
    <xf numFmtId="0" fontId="77" fillId="0" borderId="69" xfId="227" applyFont="1" applyBorder="1" applyAlignment="1">
      <alignment horizontal="center" wrapText="1"/>
      <protection/>
    </xf>
    <xf numFmtId="0" fontId="77" fillId="0" borderId="70" xfId="227" applyFont="1" applyBorder="1" applyAlignment="1">
      <alignment horizontal="center" wrapText="1"/>
      <protection/>
    </xf>
    <xf numFmtId="0" fontId="77" fillId="0" borderId="71" xfId="227" applyFont="1" applyBorder="1" applyAlignment="1">
      <alignment horizontal="center" wrapText="1"/>
      <protection/>
    </xf>
    <xf numFmtId="0" fontId="0" fillId="0" borderId="72" xfId="227" applyFont="1" applyBorder="1" applyAlignment="1">
      <alignment horizontal="center"/>
      <protection/>
    </xf>
    <xf numFmtId="0" fontId="0" fillId="0" borderId="14" xfId="227" applyFont="1" applyBorder="1" applyAlignment="1">
      <alignment horizontal="center"/>
      <protection/>
    </xf>
    <xf numFmtId="0" fontId="0" fillId="0" borderId="73" xfId="227" applyFont="1" applyBorder="1" applyAlignment="1">
      <alignment horizontal="center"/>
      <protection/>
    </xf>
    <xf numFmtId="0" fontId="53" fillId="35" borderId="28" xfId="227" applyFont="1" applyFill="1" applyBorder="1" applyAlignment="1">
      <alignment horizontal="center"/>
      <protection/>
    </xf>
    <xf numFmtId="0" fontId="53" fillId="35" borderId="21" xfId="227" applyFont="1" applyFill="1" applyBorder="1" applyAlignment="1">
      <alignment horizontal="center"/>
      <protection/>
    </xf>
    <xf numFmtId="0" fontId="0" fillId="0" borderId="74" xfId="227" applyFont="1" applyBorder="1" applyAlignment="1">
      <alignment horizontal="center"/>
      <protection/>
    </xf>
    <xf numFmtId="0" fontId="0" fillId="0" borderId="70" xfId="227" applyFont="1" applyBorder="1" applyAlignment="1">
      <alignment horizontal="center"/>
      <protection/>
    </xf>
    <xf numFmtId="0" fontId="0" fillId="0" borderId="49" xfId="227" applyFont="1" applyBorder="1" applyAlignment="1">
      <alignment horizontal="center"/>
      <protection/>
    </xf>
    <xf numFmtId="0" fontId="0" fillId="0" borderId="25" xfId="227" applyFont="1" applyBorder="1" applyAlignment="1">
      <alignment horizontal="center"/>
      <protection/>
    </xf>
    <xf numFmtId="0" fontId="0" fillId="0" borderId="0" xfId="227" applyFont="1" applyBorder="1" applyAlignment="1">
      <alignment horizontal="center"/>
      <protection/>
    </xf>
    <xf numFmtId="0" fontId="0" fillId="0" borderId="26" xfId="227" applyFont="1" applyBorder="1" applyAlignment="1">
      <alignment horizontal="center"/>
      <protection/>
    </xf>
    <xf numFmtId="0" fontId="77" fillId="0" borderId="45" xfId="227" applyFont="1" applyBorder="1" applyAlignment="1">
      <alignment horizontal="center"/>
      <protection/>
    </xf>
    <xf numFmtId="0" fontId="77" fillId="0" borderId="75" xfId="227" applyFont="1" applyBorder="1" applyAlignment="1">
      <alignment horizontal="center"/>
      <protection/>
    </xf>
    <xf numFmtId="0" fontId="77" fillId="0" borderId="46" xfId="227" applyFont="1" applyBorder="1" applyAlignment="1">
      <alignment horizontal="center"/>
      <protection/>
    </xf>
    <xf numFmtId="0" fontId="77" fillId="0" borderId="37" xfId="227" applyFont="1" applyBorder="1" applyAlignment="1">
      <alignment horizontal="center"/>
      <protection/>
    </xf>
    <xf numFmtId="0" fontId="0" fillId="0" borderId="15" xfId="227" applyFont="1" applyBorder="1" applyAlignment="1">
      <alignment horizontal="left"/>
      <protection/>
    </xf>
    <xf numFmtId="0" fontId="0" fillId="0" borderId="16" xfId="227" applyFont="1" applyBorder="1" applyAlignment="1">
      <alignment horizontal="left"/>
      <protection/>
    </xf>
    <xf numFmtId="0" fontId="0" fillId="0" borderId="17" xfId="227" applyFont="1" applyBorder="1" applyAlignment="1">
      <alignment horizontal="left"/>
      <protection/>
    </xf>
    <xf numFmtId="0" fontId="77" fillId="0" borderId="34" xfId="227" applyFont="1" applyBorder="1" applyAlignment="1">
      <alignment horizontal="center"/>
      <protection/>
    </xf>
    <xf numFmtId="0" fontId="0" fillId="0" borderId="31" xfId="227" applyFont="1" applyBorder="1" applyAlignment="1">
      <alignment horizontal="left"/>
      <protection/>
    </xf>
    <xf numFmtId="0" fontId="53" fillId="37" borderId="22" xfId="227" applyFont="1" applyFill="1" applyBorder="1" applyAlignment="1">
      <alignment horizontal="center" vertical="center"/>
      <protection/>
    </xf>
    <xf numFmtId="0" fontId="53" fillId="37" borderId="23" xfId="227" applyFont="1" applyFill="1" applyBorder="1" applyAlignment="1">
      <alignment horizontal="center" vertical="center"/>
      <protection/>
    </xf>
    <xf numFmtId="0" fontId="53" fillId="37" borderId="24" xfId="227" applyFont="1" applyFill="1" applyBorder="1" applyAlignment="1">
      <alignment horizontal="center" vertical="center"/>
      <protection/>
    </xf>
    <xf numFmtId="0" fontId="53" fillId="35" borderId="31" xfId="227" applyFont="1" applyFill="1" applyBorder="1" applyAlignment="1">
      <alignment horizontal="center" vertical="center"/>
      <protection/>
    </xf>
  </cellXfs>
  <cellStyles count="43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rmal 2 10" xfId="52"/>
    <cellStyle name="Normal 2 11" xfId="53"/>
    <cellStyle name="Normal 2 12" xfId="54"/>
    <cellStyle name="Normal 2 13" xfId="55"/>
    <cellStyle name="Normal 2 14" xfId="56"/>
    <cellStyle name="Normal 2 15" xfId="57"/>
    <cellStyle name="Normal 2 16" xfId="58"/>
    <cellStyle name="Normal 2 17" xfId="59"/>
    <cellStyle name="Normal 2 18" xfId="60"/>
    <cellStyle name="Normal 2 19" xfId="61"/>
    <cellStyle name="Normal 2 2" xfId="62"/>
    <cellStyle name="Normal 2 2 10" xfId="63"/>
    <cellStyle name="Normal 2 2 11" xfId="64"/>
    <cellStyle name="Normal 2 2 12" xfId="65"/>
    <cellStyle name="Normal 2 2 13" xfId="66"/>
    <cellStyle name="Normal 2 2 14" xfId="67"/>
    <cellStyle name="Normal 2 2 15" xfId="68"/>
    <cellStyle name="Normal 2 2 16" xfId="69"/>
    <cellStyle name="Normal 2 2 17" xfId="70"/>
    <cellStyle name="Normal 2 2 18" xfId="71"/>
    <cellStyle name="Normal 2 2 19" xfId="72"/>
    <cellStyle name="Normal 2 2 2" xfId="73"/>
    <cellStyle name="Normal 2 2 20" xfId="74"/>
    <cellStyle name="Normal 2 2 3" xfId="75"/>
    <cellStyle name="Normal 2 2 4" xfId="76"/>
    <cellStyle name="Normal 2 2 5" xfId="77"/>
    <cellStyle name="Normal 2 2 6" xfId="78"/>
    <cellStyle name="Normal 2 2 7" xfId="79"/>
    <cellStyle name="Normal 2 2 8" xfId="80"/>
    <cellStyle name="Normal 2 2 9" xfId="81"/>
    <cellStyle name="Normal 2 20" xfId="82"/>
    <cellStyle name="Normal 2 21" xfId="83"/>
    <cellStyle name="Normal 2 22" xfId="84"/>
    <cellStyle name="Normal 2 23" xfId="85"/>
    <cellStyle name="Normal 2 24" xfId="86"/>
    <cellStyle name="Normal 2 25" xfId="87"/>
    <cellStyle name="Normal 2 26" xfId="88"/>
    <cellStyle name="Normal 2 27" xfId="89"/>
    <cellStyle name="Normal 2 3" xfId="90"/>
    <cellStyle name="Normal 2 3 10" xfId="91"/>
    <cellStyle name="Normal 2 3 11" xfId="92"/>
    <cellStyle name="Normal 2 3 12" xfId="93"/>
    <cellStyle name="Normal 2 3 13" xfId="94"/>
    <cellStyle name="Normal 2 3 14" xfId="95"/>
    <cellStyle name="Normal 2 3 15" xfId="96"/>
    <cellStyle name="Normal 2 3 16" xfId="97"/>
    <cellStyle name="Normal 2 3 17" xfId="98"/>
    <cellStyle name="Normal 2 3 18" xfId="99"/>
    <cellStyle name="Normal 2 3 19" xfId="100"/>
    <cellStyle name="Normal 2 3 2" xfId="101"/>
    <cellStyle name="Normal 2 3 20" xfId="102"/>
    <cellStyle name="Normal 2 3 3" xfId="103"/>
    <cellStyle name="Normal 2 3 4" xfId="104"/>
    <cellStyle name="Normal 2 3 5" xfId="105"/>
    <cellStyle name="Normal 2 3 6" xfId="106"/>
    <cellStyle name="Normal 2 3 7" xfId="107"/>
    <cellStyle name="Normal 2 3 8" xfId="108"/>
    <cellStyle name="Normal 2 3 9" xfId="109"/>
    <cellStyle name="Normal 2 4" xfId="110"/>
    <cellStyle name="Normal 2 4 10" xfId="111"/>
    <cellStyle name="Normal 2 4 11" xfId="112"/>
    <cellStyle name="Normal 2 4 12" xfId="113"/>
    <cellStyle name="Normal 2 4 13" xfId="114"/>
    <cellStyle name="Normal 2 4 14" xfId="115"/>
    <cellStyle name="Normal 2 4 15" xfId="116"/>
    <cellStyle name="Normal 2 4 16" xfId="117"/>
    <cellStyle name="Normal 2 4 17" xfId="118"/>
    <cellStyle name="Normal 2 4 18" xfId="119"/>
    <cellStyle name="Normal 2 4 19" xfId="120"/>
    <cellStyle name="Normal 2 4 2" xfId="121"/>
    <cellStyle name="Normal 2 4 20" xfId="122"/>
    <cellStyle name="Normal 2 4 3" xfId="123"/>
    <cellStyle name="Normal 2 4 4" xfId="124"/>
    <cellStyle name="Normal 2 4 5" xfId="125"/>
    <cellStyle name="Normal 2 4 6" xfId="126"/>
    <cellStyle name="Normal 2 4 7" xfId="127"/>
    <cellStyle name="Normal 2 4 8" xfId="128"/>
    <cellStyle name="Normal 2 4 9" xfId="129"/>
    <cellStyle name="Normal 2 5" xfId="130"/>
    <cellStyle name="Normal 2 5 10" xfId="131"/>
    <cellStyle name="Normal 2 5 11" xfId="132"/>
    <cellStyle name="Normal 2 5 12" xfId="133"/>
    <cellStyle name="Normal 2 5 13" xfId="134"/>
    <cellStyle name="Normal 2 5 14" xfId="135"/>
    <cellStyle name="Normal 2 5 15" xfId="136"/>
    <cellStyle name="Normal 2 5 16" xfId="137"/>
    <cellStyle name="Normal 2 5 17" xfId="138"/>
    <cellStyle name="Normal 2 5 18" xfId="139"/>
    <cellStyle name="Normal 2 5 19" xfId="140"/>
    <cellStyle name="Normal 2 5 2" xfId="141"/>
    <cellStyle name="Normal 2 5 20" xfId="142"/>
    <cellStyle name="Normal 2 5 3" xfId="143"/>
    <cellStyle name="Normal 2 5 4" xfId="144"/>
    <cellStyle name="Normal 2 5 5" xfId="145"/>
    <cellStyle name="Normal 2 5 6" xfId="146"/>
    <cellStyle name="Normal 2 5 7" xfId="147"/>
    <cellStyle name="Normal 2 5 8" xfId="148"/>
    <cellStyle name="Normal 2 5 9" xfId="149"/>
    <cellStyle name="Normal 2 6" xfId="150"/>
    <cellStyle name="Normal 2 6 10" xfId="151"/>
    <cellStyle name="Normal 2 6 11" xfId="152"/>
    <cellStyle name="Normal 2 6 12" xfId="153"/>
    <cellStyle name="Normal 2 6 13" xfId="154"/>
    <cellStyle name="Normal 2 6 14" xfId="155"/>
    <cellStyle name="Normal 2 6 15" xfId="156"/>
    <cellStyle name="Normal 2 6 16" xfId="157"/>
    <cellStyle name="Normal 2 6 17" xfId="158"/>
    <cellStyle name="Normal 2 6 18" xfId="159"/>
    <cellStyle name="Normal 2 6 19" xfId="160"/>
    <cellStyle name="Normal 2 6 2" xfId="161"/>
    <cellStyle name="Normal 2 6 20" xfId="162"/>
    <cellStyle name="Normal 2 6 3" xfId="163"/>
    <cellStyle name="Normal 2 6 4" xfId="164"/>
    <cellStyle name="Normal 2 6 5" xfId="165"/>
    <cellStyle name="Normal 2 6 6" xfId="166"/>
    <cellStyle name="Normal 2 6 7" xfId="167"/>
    <cellStyle name="Normal 2 6 8" xfId="168"/>
    <cellStyle name="Normal 2 6 9" xfId="169"/>
    <cellStyle name="Normal 2 7" xfId="170"/>
    <cellStyle name="Normal 2 7 10" xfId="171"/>
    <cellStyle name="Normal 2 7 11" xfId="172"/>
    <cellStyle name="Normal 2 7 12" xfId="173"/>
    <cellStyle name="Normal 2 7 13" xfId="174"/>
    <cellStyle name="Normal 2 7 14" xfId="175"/>
    <cellStyle name="Normal 2 7 15" xfId="176"/>
    <cellStyle name="Normal 2 7 16" xfId="177"/>
    <cellStyle name="Normal 2 7 17" xfId="178"/>
    <cellStyle name="Normal 2 7 18" xfId="179"/>
    <cellStyle name="Normal 2 7 19" xfId="180"/>
    <cellStyle name="Normal 2 7 2" xfId="181"/>
    <cellStyle name="Normal 2 7 20" xfId="182"/>
    <cellStyle name="Normal 2 7 3" xfId="183"/>
    <cellStyle name="Normal 2 7 4" xfId="184"/>
    <cellStyle name="Normal 2 7 5" xfId="185"/>
    <cellStyle name="Normal 2 7 6" xfId="186"/>
    <cellStyle name="Normal 2 7 7" xfId="187"/>
    <cellStyle name="Normal 2 7 8" xfId="188"/>
    <cellStyle name="Normal 2 7 9" xfId="189"/>
    <cellStyle name="Normal 2 8" xfId="190"/>
    <cellStyle name="Normal 2 9" xfId="191"/>
    <cellStyle name="Normal 2_Planilha Valença" xfId="192"/>
    <cellStyle name="Normal 29" xfId="193"/>
    <cellStyle name="Normal 3" xfId="194"/>
    <cellStyle name="Normal 3 10" xfId="195"/>
    <cellStyle name="Normal 3 11" xfId="196"/>
    <cellStyle name="Normal 3 12" xfId="197"/>
    <cellStyle name="Normal 3 13" xfId="198"/>
    <cellStyle name="Normal 3 14" xfId="199"/>
    <cellStyle name="Normal 3 15" xfId="200"/>
    <cellStyle name="Normal 3 16" xfId="201"/>
    <cellStyle name="Normal 3 17" xfId="202"/>
    <cellStyle name="Normal 3 18" xfId="203"/>
    <cellStyle name="Normal 3 19" xfId="204"/>
    <cellStyle name="Normal 3 2" xfId="205"/>
    <cellStyle name="Normal 3 20" xfId="206"/>
    <cellStyle name="Normal 3 21" xfId="207"/>
    <cellStyle name="Normal 3 3" xfId="208"/>
    <cellStyle name="Normal 3 4" xfId="209"/>
    <cellStyle name="Normal 3 5" xfId="210"/>
    <cellStyle name="Normal 3 6" xfId="211"/>
    <cellStyle name="Normal 3 7" xfId="212"/>
    <cellStyle name="Normal 3 8" xfId="213"/>
    <cellStyle name="Normal 3 9" xfId="214"/>
    <cellStyle name="Normal 4" xfId="215"/>
    <cellStyle name="Normal 4 10" xfId="216"/>
    <cellStyle name="Normal 4 11" xfId="217"/>
    <cellStyle name="Normal 4 12" xfId="218"/>
    <cellStyle name="Normal 4 13" xfId="219"/>
    <cellStyle name="Normal 4 14" xfId="220"/>
    <cellStyle name="Normal 4 15" xfId="221"/>
    <cellStyle name="Normal 4 16" xfId="222"/>
    <cellStyle name="Normal 4 17" xfId="223"/>
    <cellStyle name="Normal 4 18" xfId="224"/>
    <cellStyle name="Normal 4 19" xfId="225"/>
    <cellStyle name="Normal 4 2" xfId="226"/>
    <cellStyle name="Normal 4 2 3 2" xfId="227"/>
    <cellStyle name="Normal 4 20" xfId="228"/>
    <cellStyle name="Normal 4 3" xfId="229"/>
    <cellStyle name="Normal 4 4" xfId="230"/>
    <cellStyle name="Normal 4 5" xfId="231"/>
    <cellStyle name="Normal 4 6" xfId="232"/>
    <cellStyle name="Normal 4 7" xfId="233"/>
    <cellStyle name="Normal 4 8" xfId="234"/>
    <cellStyle name="Normal 4 9" xfId="235"/>
    <cellStyle name="Normal 5" xfId="236"/>
    <cellStyle name="Normal 5 10" xfId="237"/>
    <cellStyle name="Normal 5 11" xfId="238"/>
    <cellStyle name="Normal 5 12" xfId="239"/>
    <cellStyle name="Normal 5 13" xfId="240"/>
    <cellStyle name="Normal 5 14" xfId="241"/>
    <cellStyle name="Normal 5 15" xfId="242"/>
    <cellStyle name="Normal 5 16" xfId="243"/>
    <cellStyle name="Normal 5 17" xfId="244"/>
    <cellStyle name="Normal 5 18" xfId="245"/>
    <cellStyle name="Normal 5 19" xfId="246"/>
    <cellStyle name="Normal 5 2" xfId="247"/>
    <cellStyle name="Normal 5 20" xfId="248"/>
    <cellStyle name="Normal 5 3" xfId="249"/>
    <cellStyle name="Normal 5 4" xfId="250"/>
    <cellStyle name="Normal 5 5" xfId="251"/>
    <cellStyle name="Normal 5 6" xfId="252"/>
    <cellStyle name="Normal 5 7" xfId="253"/>
    <cellStyle name="Normal 5 8" xfId="254"/>
    <cellStyle name="Normal 5 9" xfId="255"/>
    <cellStyle name="Normal 6" xfId="256"/>
    <cellStyle name="Normal 6 10" xfId="257"/>
    <cellStyle name="Normal 6 11" xfId="258"/>
    <cellStyle name="Normal 6 12" xfId="259"/>
    <cellStyle name="Normal 6 13" xfId="260"/>
    <cellStyle name="Normal 6 14" xfId="261"/>
    <cellStyle name="Normal 6 15" xfId="262"/>
    <cellStyle name="Normal 6 16" xfId="263"/>
    <cellStyle name="Normal 6 17" xfId="264"/>
    <cellStyle name="Normal 6 18" xfId="265"/>
    <cellStyle name="Normal 6 19" xfId="266"/>
    <cellStyle name="Normal 6 2" xfId="267"/>
    <cellStyle name="Normal 6 20" xfId="268"/>
    <cellStyle name="Normal 6 3" xfId="269"/>
    <cellStyle name="Normal 6 4" xfId="270"/>
    <cellStyle name="Normal 6 5" xfId="271"/>
    <cellStyle name="Normal 6 6" xfId="272"/>
    <cellStyle name="Normal 6 7" xfId="273"/>
    <cellStyle name="Normal 6 8" xfId="274"/>
    <cellStyle name="Normal 6 9" xfId="275"/>
    <cellStyle name="Normal 7" xfId="276"/>
    <cellStyle name="Normal 7 10" xfId="277"/>
    <cellStyle name="Normal 7 11" xfId="278"/>
    <cellStyle name="Normal 7 12" xfId="279"/>
    <cellStyle name="Normal 7 13" xfId="280"/>
    <cellStyle name="Normal 7 14" xfId="281"/>
    <cellStyle name="Normal 7 15" xfId="282"/>
    <cellStyle name="Normal 7 16" xfId="283"/>
    <cellStyle name="Normal 7 17" xfId="284"/>
    <cellStyle name="Normal 7 18" xfId="285"/>
    <cellStyle name="Normal 7 19" xfId="286"/>
    <cellStyle name="Normal 7 2" xfId="287"/>
    <cellStyle name="Normal 7 20" xfId="288"/>
    <cellStyle name="Normal 7 3" xfId="289"/>
    <cellStyle name="Normal 7 4" xfId="290"/>
    <cellStyle name="Normal 7 5" xfId="291"/>
    <cellStyle name="Normal 7 6" xfId="292"/>
    <cellStyle name="Normal 7 7" xfId="293"/>
    <cellStyle name="Normal 7 8" xfId="294"/>
    <cellStyle name="Normal 7 9" xfId="295"/>
    <cellStyle name="Normal 8" xfId="296"/>
    <cellStyle name="Normal 9" xfId="297"/>
    <cellStyle name="Normal_ORÇAMENTO-HAB" xfId="298"/>
    <cellStyle name="Normal_Planilha Elesbão Veloso - Urgência e Acesso Lavanderia" xfId="299"/>
    <cellStyle name="Nota" xfId="300"/>
    <cellStyle name="Percent" xfId="301"/>
    <cellStyle name="Porcentagem 2" xfId="302"/>
    <cellStyle name="Porcentagem 2 2" xfId="303"/>
    <cellStyle name="Porcentagem 2 3" xfId="304"/>
    <cellStyle name="Porcentagem 3" xfId="305"/>
    <cellStyle name="Saída" xfId="306"/>
    <cellStyle name="Comma [0]" xfId="307"/>
    <cellStyle name="Separador de milhares 10" xfId="308"/>
    <cellStyle name="Separador de milhares 11" xfId="309"/>
    <cellStyle name="Separador de milhares 2" xfId="310"/>
    <cellStyle name="Separador de milhares 2 10" xfId="311"/>
    <cellStyle name="Separador de milhares 2 11" xfId="312"/>
    <cellStyle name="Separador de milhares 2 12" xfId="313"/>
    <cellStyle name="Separador de milhares 2 13" xfId="314"/>
    <cellStyle name="Separador de milhares 2 14" xfId="315"/>
    <cellStyle name="Separador de milhares 2 15" xfId="316"/>
    <cellStyle name="Separador de milhares 2 16" xfId="317"/>
    <cellStyle name="Separador de milhares 2 17" xfId="318"/>
    <cellStyle name="Separador de milhares 2 18" xfId="319"/>
    <cellStyle name="Separador de milhares 2 19" xfId="320"/>
    <cellStyle name="Separador de milhares 2 2" xfId="321"/>
    <cellStyle name="Separador de milhares 2 20" xfId="322"/>
    <cellStyle name="Separador de milhares 2 21" xfId="323"/>
    <cellStyle name="Separador de milhares 2 3" xfId="324"/>
    <cellStyle name="Separador de milhares 2 4" xfId="325"/>
    <cellStyle name="Separador de milhares 2 5" xfId="326"/>
    <cellStyle name="Separador de milhares 2 6" xfId="327"/>
    <cellStyle name="Separador de milhares 2 7" xfId="328"/>
    <cellStyle name="Separador de milhares 2 8" xfId="329"/>
    <cellStyle name="Separador de milhares 2 9" xfId="330"/>
    <cellStyle name="Separador de milhares 29" xfId="331"/>
    <cellStyle name="Separador de milhares 3" xfId="332"/>
    <cellStyle name="Separador de milhares 3 10" xfId="333"/>
    <cellStyle name="Separador de milhares 3 11" xfId="334"/>
    <cellStyle name="Separador de milhares 3 12" xfId="335"/>
    <cellStyle name="Separador de milhares 3 13" xfId="336"/>
    <cellStyle name="Separador de milhares 3 14" xfId="337"/>
    <cellStyle name="Separador de milhares 3 15" xfId="338"/>
    <cellStyle name="Separador de milhares 3 16" xfId="339"/>
    <cellStyle name="Separador de milhares 3 17" xfId="340"/>
    <cellStyle name="Separador de milhares 3 18" xfId="341"/>
    <cellStyle name="Separador de milhares 3 19" xfId="342"/>
    <cellStyle name="Separador de milhares 3 2" xfId="343"/>
    <cellStyle name="Separador de milhares 3 20" xfId="344"/>
    <cellStyle name="Separador de milhares 3 3" xfId="345"/>
    <cellStyle name="Separador de milhares 3 4" xfId="346"/>
    <cellStyle name="Separador de milhares 3 5" xfId="347"/>
    <cellStyle name="Separador de milhares 3 6" xfId="348"/>
    <cellStyle name="Separador de milhares 3 7" xfId="349"/>
    <cellStyle name="Separador de milhares 3 8" xfId="350"/>
    <cellStyle name="Separador de milhares 3 9" xfId="351"/>
    <cellStyle name="Separador de milhares 4" xfId="352"/>
    <cellStyle name="Separador de milhares 4 10" xfId="353"/>
    <cellStyle name="Separador de milhares 4 11" xfId="354"/>
    <cellStyle name="Separador de milhares 4 12" xfId="355"/>
    <cellStyle name="Separador de milhares 4 13" xfId="356"/>
    <cellStyle name="Separador de milhares 4 14" xfId="357"/>
    <cellStyle name="Separador de milhares 4 15" xfId="358"/>
    <cellStyle name="Separador de milhares 4 16" xfId="359"/>
    <cellStyle name="Separador de milhares 4 17" xfId="360"/>
    <cellStyle name="Separador de milhares 4 18" xfId="361"/>
    <cellStyle name="Separador de milhares 4 19" xfId="362"/>
    <cellStyle name="Separador de milhares 4 2" xfId="363"/>
    <cellStyle name="Separador de milhares 4 20" xfId="364"/>
    <cellStyle name="Separador de milhares 4 3" xfId="365"/>
    <cellStyle name="Separador de milhares 4 4" xfId="366"/>
    <cellStyle name="Separador de milhares 4 5" xfId="367"/>
    <cellStyle name="Separador de milhares 4 6" xfId="368"/>
    <cellStyle name="Separador de milhares 4 7" xfId="369"/>
    <cellStyle name="Separador de milhares 4 8" xfId="370"/>
    <cellStyle name="Separador de milhares 4 9" xfId="371"/>
    <cellStyle name="Separador de milhares 5" xfId="372"/>
    <cellStyle name="Separador de milhares 5 10" xfId="373"/>
    <cellStyle name="Separador de milhares 5 11" xfId="374"/>
    <cellStyle name="Separador de milhares 5 12" xfId="375"/>
    <cellStyle name="Separador de milhares 5 13" xfId="376"/>
    <cellStyle name="Separador de milhares 5 14" xfId="377"/>
    <cellStyle name="Separador de milhares 5 15" xfId="378"/>
    <cellStyle name="Separador de milhares 5 16" xfId="379"/>
    <cellStyle name="Separador de milhares 5 17" xfId="380"/>
    <cellStyle name="Separador de milhares 5 18" xfId="381"/>
    <cellStyle name="Separador de milhares 5 19" xfId="382"/>
    <cellStyle name="Separador de milhares 5 2" xfId="383"/>
    <cellStyle name="Separador de milhares 5 20" xfId="384"/>
    <cellStyle name="Separador de milhares 5 3" xfId="385"/>
    <cellStyle name="Separador de milhares 5 4" xfId="386"/>
    <cellStyle name="Separador de milhares 5 5" xfId="387"/>
    <cellStyle name="Separador de milhares 5 6" xfId="388"/>
    <cellStyle name="Separador de milhares 5 7" xfId="389"/>
    <cellStyle name="Separador de milhares 5 8" xfId="390"/>
    <cellStyle name="Separador de milhares 5 9" xfId="391"/>
    <cellStyle name="Separador de milhares 6" xfId="392"/>
    <cellStyle name="Separador de milhares 6 10" xfId="393"/>
    <cellStyle name="Separador de milhares 6 11" xfId="394"/>
    <cellStyle name="Separador de milhares 6 12" xfId="395"/>
    <cellStyle name="Separador de milhares 6 13" xfId="396"/>
    <cellStyle name="Separador de milhares 6 14" xfId="397"/>
    <cellStyle name="Separador de milhares 6 15" xfId="398"/>
    <cellStyle name="Separador de milhares 6 16" xfId="399"/>
    <cellStyle name="Separador de milhares 6 17" xfId="400"/>
    <cellStyle name="Separador de milhares 6 18" xfId="401"/>
    <cellStyle name="Separador de milhares 6 19" xfId="402"/>
    <cellStyle name="Separador de milhares 6 2" xfId="403"/>
    <cellStyle name="Separador de milhares 6 20" xfId="404"/>
    <cellStyle name="Separador de milhares 6 3" xfId="405"/>
    <cellStyle name="Separador de milhares 6 4" xfId="406"/>
    <cellStyle name="Separador de milhares 6 5" xfId="407"/>
    <cellStyle name="Separador de milhares 6 6" xfId="408"/>
    <cellStyle name="Separador de milhares 6 7" xfId="409"/>
    <cellStyle name="Separador de milhares 6 8" xfId="410"/>
    <cellStyle name="Separador de milhares 6 9" xfId="411"/>
    <cellStyle name="Separador de milhares 7" xfId="412"/>
    <cellStyle name="Separador de milhares 7 10" xfId="413"/>
    <cellStyle name="Separador de milhares 7 11" xfId="414"/>
    <cellStyle name="Separador de milhares 7 12" xfId="415"/>
    <cellStyle name="Separador de milhares 7 13" xfId="416"/>
    <cellStyle name="Separador de milhares 7 14" xfId="417"/>
    <cellStyle name="Separador de milhares 7 15" xfId="418"/>
    <cellStyle name="Separador de milhares 7 16" xfId="419"/>
    <cellStyle name="Separador de milhares 7 17" xfId="420"/>
    <cellStyle name="Separador de milhares 7 18" xfId="421"/>
    <cellStyle name="Separador de milhares 7 19" xfId="422"/>
    <cellStyle name="Separador de milhares 7 2" xfId="423"/>
    <cellStyle name="Separador de milhares 7 20" xfId="424"/>
    <cellStyle name="Separador de milhares 7 3" xfId="425"/>
    <cellStyle name="Separador de milhares 7 4" xfId="426"/>
    <cellStyle name="Separador de milhares 7 5" xfId="427"/>
    <cellStyle name="Separador de milhares 7 6" xfId="428"/>
    <cellStyle name="Separador de milhares 7 7" xfId="429"/>
    <cellStyle name="Separador de milhares 7 8" xfId="430"/>
    <cellStyle name="Separador de milhares 7 9" xfId="431"/>
    <cellStyle name="Separador de milhares 8" xfId="432"/>
    <cellStyle name="Separador de milhares 9" xfId="433"/>
    <cellStyle name="Separador de milhares 9 2" xfId="434"/>
    <cellStyle name="Texto de Aviso" xfId="435"/>
    <cellStyle name="Texto Explicativo" xfId="436"/>
    <cellStyle name="Título" xfId="437"/>
    <cellStyle name="Título 1" xfId="438"/>
    <cellStyle name="Título 2" xfId="439"/>
    <cellStyle name="Título 3" xfId="440"/>
    <cellStyle name="Título 4" xfId="441"/>
    <cellStyle name="Total" xfId="442"/>
    <cellStyle name="Comma" xfId="443"/>
    <cellStyle name="Vírgula 2" xfId="4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2219325</xdr:colOff>
      <xdr:row>1</xdr:row>
      <xdr:rowOff>9525</xdr:rowOff>
    </xdr:from>
    <xdr:to>
      <xdr:col>5</xdr:col>
      <xdr:colOff>0</xdr:colOff>
      <xdr:row>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133725" y="238125"/>
          <a:ext cx="4448175" cy="13620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500" b="1" i="0" u="none" baseline="0">
              <a:solidFill>
                <a:srgbClr val="000000"/>
              </a:solidFill>
            </a:rPr>
            <a:t>Secretaria Estadual  da Saúde</a:t>
          </a:r>
        </a:p>
      </xdr:txBody>
    </xdr:sp>
    <xdr:clientData/>
  </xdr:twoCellAnchor>
  <xdr:twoCellAnchor editAs="oneCell">
    <xdr:from>
      <xdr:col>2</xdr:col>
      <xdr:colOff>190500</xdr:colOff>
      <xdr:row>1</xdr:row>
      <xdr:rowOff>9525</xdr:rowOff>
    </xdr:from>
    <xdr:to>
      <xdr:col>2</xdr:col>
      <xdr:colOff>1695450</xdr:colOff>
      <xdr:row>6</xdr:row>
      <xdr:rowOff>200025</xdr:rowOff>
    </xdr:to>
    <xdr:pic>
      <xdr:nvPicPr>
        <xdr:cNvPr id="2" name="Imagem 3" descr="C:\Users\SESAPI\Desktop\brasao-governo-do-piaui20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238125"/>
          <a:ext cx="15049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1990725</xdr:colOff>
      <xdr:row>1</xdr:row>
      <xdr:rowOff>9525</xdr:rowOff>
    </xdr:from>
    <xdr:to>
      <xdr:col>5</xdr:col>
      <xdr:colOff>9525</xdr:colOff>
      <xdr:row>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209925" y="200025"/>
          <a:ext cx="2667000" cy="13620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Secretaria Estadual  da Saúde</a:t>
          </a:r>
        </a:p>
      </xdr:txBody>
    </xdr:sp>
    <xdr:clientData/>
  </xdr:twoCellAnchor>
  <xdr:twoCellAnchor editAs="oneCell">
    <xdr:from>
      <xdr:col>2</xdr:col>
      <xdr:colOff>66675</xdr:colOff>
      <xdr:row>1</xdr:row>
      <xdr:rowOff>47625</xdr:rowOff>
    </xdr:from>
    <xdr:to>
      <xdr:col>2</xdr:col>
      <xdr:colOff>1581150</xdr:colOff>
      <xdr:row>6</xdr:row>
      <xdr:rowOff>209550</xdr:rowOff>
    </xdr:to>
    <xdr:pic>
      <xdr:nvPicPr>
        <xdr:cNvPr id="2" name="Imagem 3" descr="C:\Users\SESAPI\Desktop\brasao-governo-do-piaui20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38125"/>
          <a:ext cx="15144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9525</xdr:rowOff>
    </xdr:from>
    <xdr:to>
      <xdr:col>4</xdr:col>
      <xdr:colOff>3562350</xdr:colOff>
      <xdr:row>6</xdr:row>
      <xdr:rowOff>219075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172075" y="209550"/>
          <a:ext cx="4095750" cy="13525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SECRETARIA DE ESTADO DA SAÚDE</a:t>
          </a:r>
        </a:p>
      </xdr:txBody>
    </xdr:sp>
    <xdr:clientData/>
  </xdr:twoCellAnchor>
  <xdr:twoCellAnchor editAs="oneCell">
    <xdr:from>
      <xdr:col>2</xdr:col>
      <xdr:colOff>704850</xdr:colOff>
      <xdr:row>1</xdr:row>
      <xdr:rowOff>57150</xdr:rowOff>
    </xdr:from>
    <xdr:to>
      <xdr:col>2</xdr:col>
      <xdr:colOff>2219325</xdr:colOff>
      <xdr:row>6</xdr:row>
      <xdr:rowOff>152400</xdr:rowOff>
    </xdr:to>
    <xdr:pic>
      <xdr:nvPicPr>
        <xdr:cNvPr id="2" name="Imagem 3" descr="C:\Users\SESAPI\Desktop\brasao-governo-do-piaui20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57175"/>
          <a:ext cx="1514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1047750</xdr:colOff>
      <xdr:row>1</xdr:row>
      <xdr:rowOff>0</xdr:rowOff>
    </xdr:from>
    <xdr:to>
      <xdr:col>3</xdr:col>
      <xdr:colOff>0</xdr:colOff>
      <xdr:row>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609850" y="228600"/>
          <a:ext cx="2552700" cy="13716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DA SAÚDE</a:t>
          </a:r>
        </a:p>
      </xdr:txBody>
    </xdr:sp>
    <xdr:clientData/>
  </xdr:twoCellAnchor>
  <xdr:twoCellAnchor editAs="oneCell">
    <xdr:from>
      <xdr:col>1</xdr:col>
      <xdr:colOff>533400</xdr:colOff>
      <xdr:row>1</xdr:row>
      <xdr:rowOff>114300</xdr:rowOff>
    </xdr:from>
    <xdr:to>
      <xdr:col>2</xdr:col>
      <xdr:colOff>790575</xdr:colOff>
      <xdr:row>6</xdr:row>
      <xdr:rowOff>190500</xdr:rowOff>
    </xdr:to>
    <xdr:pic>
      <xdr:nvPicPr>
        <xdr:cNvPr id="2" name="Imagem 4" descr="C:\Users\SESAPI\Desktop\brasao-governo-do-piaui20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42900"/>
          <a:ext cx="15049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990600</xdr:colOff>
      <xdr:row>27</xdr:row>
      <xdr:rowOff>142875</xdr:rowOff>
    </xdr:from>
    <xdr:to>
      <xdr:col>6</xdr:col>
      <xdr:colOff>209550</xdr:colOff>
      <xdr:row>37</xdr:row>
      <xdr:rowOff>228600</xdr:rowOff>
    </xdr:to>
    <xdr:pic>
      <xdr:nvPicPr>
        <xdr:cNvPr id="1" name="Objeto 1"/>
        <xdr:cNvPicPr preferRelativeResize="1">
          <a:picLocks noChangeAspect="1"/>
        </xdr:cNvPicPr>
      </xdr:nvPicPr>
      <xdr:blipFill>
        <a:blip r:embed="rId1"/>
        <a:srcRect l="-2531" t="-5361" r="-3527" b="-29992"/>
        <a:stretch>
          <a:fillRect/>
        </a:stretch>
      </xdr:blipFill>
      <xdr:spPr>
        <a:xfrm>
          <a:off x="1600200" y="5219700"/>
          <a:ext cx="5514975" cy="23717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66675</xdr:colOff>
      <xdr:row>73</xdr:row>
      <xdr:rowOff>104775</xdr:rowOff>
    </xdr:from>
    <xdr:to>
      <xdr:col>17</xdr:col>
      <xdr:colOff>304800</xdr:colOff>
      <xdr:row>104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15916275"/>
          <a:ext cx="8048625" cy="594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25</xdr:row>
      <xdr:rowOff>114300</xdr:rowOff>
    </xdr:from>
    <xdr:to>
      <xdr:col>21</xdr:col>
      <xdr:colOff>190500</xdr:colOff>
      <xdr:row>43</xdr:row>
      <xdr:rowOff>57150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15450" y="4791075"/>
          <a:ext cx="7419975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133350</xdr:rowOff>
    </xdr:from>
    <xdr:to>
      <xdr:col>21</xdr:col>
      <xdr:colOff>190500</xdr:colOff>
      <xdr:row>23</xdr:row>
      <xdr:rowOff>114300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96400" y="1085850"/>
          <a:ext cx="74390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45</xdr:row>
      <xdr:rowOff>114300</xdr:rowOff>
    </xdr:from>
    <xdr:to>
      <xdr:col>21</xdr:col>
      <xdr:colOff>161925</xdr:colOff>
      <xdr:row>58</xdr:row>
      <xdr:rowOff>104775</xdr:rowOff>
    </xdr:to>
    <xdr:pic>
      <xdr:nvPicPr>
        <xdr:cNvPr id="5" name="Imagem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305925" y="9391650"/>
          <a:ext cx="740092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2028825</xdr:colOff>
      <xdr:row>2</xdr:row>
      <xdr:rowOff>9525</xdr:rowOff>
    </xdr:from>
    <xdr:to>
      <xdr:col>3</xdr:col>
      <xdr:colOff>0</xdr:colOff>
      <xdr:row>8</xdr:row>
      <xdr:rowOff>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2638425" y="390525"/>
          <a:ext cx="1781175" cy="11334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Secretaria Estadual  da Saúde</a:t>
          </a:r>
        </a:p>
      </xdr:txBody>
    </xdr:sp>
    <xdr:clientData/>
  </xdr:twoCellAnchor>
  <xdr:twoCellAnchor editAs="oneCell">
    <xdr:from>
      <xdr:col>1</xdr:col>
      <xdr:colOff>276225</xdr:colOff>
      <xdr:row>2</xdr:row>
      <xdr:rowOff>47625</xdr:rowOff>
    </xdr:from>
    <xdr:to>
      <xdr:col>1</xdr:col>
      <xdr:colOff>1790700</xdr:colOff>
      <xdr:row>7</xdr:row>
      <xdr:rowOff>180975</xdr:rowOff>
    </xdr:to>
    <xdr:pic>
      <xdr:nvPicPr>
        <xdr:cNvPr id="7" name="Imagem 9" descr="C:\Users\SESAPI\Desktop\brasao-governo-do-piaui2015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428625"/>
          <a:ext cx="15144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47625</xdr:rowOff>
    </xdr:from>
    <xdr:to>
      <xdr:col>2</xdr:col>
      <xdr:colOff>533400</xdr:colOff>
      <xdr:row>6</xdr:row>
      <xdr:rowOff>104775</xdr:rowOff>
    </xdr:to>
    <xdr:pic>
      <xdr:nvPicPr>
        <xdr:cNvPr id="1" name="Imagem 2" descr="C:\Users\SESAPI\Desktop\brasao-governo-do-piaui20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38125"/>
          <a:ext cx="1190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S%20ENGENHARIA2\AppData\Roaming\Microsoft\Suplementos\VExtenso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definedNames>
      <definedName name="VExtens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B2:Q279"/>
  <sheetViews>
    <sheetView showGridLines="0" view="pageBreakPreview" zoomScale="87" zoomScaleSheetLayoutView="87" zoomScalePageLayoutView="0" workbookViewId="0" topLeftCell="A13">
      <pane ySplit="1275" topLeftCell="A1" activePane="bottomLeft" state="split"/>
      <selection pane="topLeft" activeCell="M14" sqref="M14"/>
      <selection pane="bottomLeft" activeCell="B277" sqref="B277"/>
    </sheetView>
  </sheetViews>
  <sheetFormatPr defaultColWidth="9.140625" defaultRowHeight="18" customHeight="1"/>
  <cols>
    <col min="1" max="1" width="4.7109375" style="1" customWidth="1"/>
    <col min="2" max="2" width="9.00390625" style="3" customWidth="1"/>
    <col min="3" max="3" width="71.28125" style="1" customWidth="1"/>
    <col min="4" max="4" width="15.57421875" style="1" customWidth="1"/>
    <col min="5" max="5" width="13.140625" style="1" customWidth="1"/>
    <col min="6" max="6" width="10.28125" style="2" customWidth="1"/>
    <col min="7" max="7" width="15.140625" style="18" customWidth="1"/>
    <col min="8" max="8" width="14.00390625" style="25" customWidth="1"/>
    <col min="9" max="10" width="17.7109375" style="18" customWidth="1"/>
    <col min="11" max="11" width="12.57421875" style="16" customWidth="1"/>
    <col min="12" max="12" width="12.7109375" style="14" customWidth="1"/>
    <col min="13" max="13" width="21.7109375" style="1" customWidth="1"/>
    <col min="14" max="14" width="11.8515625" style="1" bestFit="1" customWidth="1"/>
    <col min="15" max="16384" width="9.140625" style="1" customWidth="1"/>
  </cols>
  <sheetData>
    <row r="2" spans="2:12" ht="18" customHeight="1">
      <c r="B2" s="5"/>
      <c r="C2" s="6"/>
      <c r="D2" s="6"/>
      <c r="E2" s="6"/>
      <c r="F2" s="733" t="s">
        <v>46</v>
      </c>
      <c r="G2" s="733"/>
      <c r="H2" s="733"/>
      <c r="I2" s="733"/>
      <c r="J2" s="733"/>
      <c r="K2" s="733"/>
      <c r="L2" s="733"/>
    </row>
    <row r="3" spans="2:12" ht="18" customHeight="1">
      <c r="B3" s="7"/>
      <c r="C3" s="8"/>
      <c r="D3" s="8"/>
      <c r="E3" s="8"/>
      <c r="F3" s="733"/>
      <c r="G3" s="733"/>
      <c r="H3" s="733"/>
      <c r="I3" s="733"/>
      <c r="J3" s="733"/>
      <c r="K3" s="733"/>
      <c r="L3" s="733"/>
    </row>
    <row r="4" spans="2:12" ht="18" customHeight="1">
      <c r="B4" s="7"/>
      <c r="C4" s="8"/>
      <c r="D4" s="8"/>
      <c r="E4" s="8"/>
      <c r="F4" s="734" t="s">
        <v>47</v>
      </c>
      <c r="G4" s="734"/>
      <c r="H4" s="734"/>
      <c r="I4" s="734"/>
      <c r="J4" s="734"/>
      <c r="K4" s="734"/>
      <c r="L4" s="734"/>
    </row>
    <row r="5" spans="2:12" ht="18" customHeight="1">
      <c r="B5" s="7"/>
      <c r="C5" s="8"/>
      <c r="D5" s="8"/>
      <c r="E5" s="8"/>
      <c r="F5" s="734"/>
      <c r="G5" s="734"/>
      <c r="H5" s="734"/>
      <c r="I5" s="734"/>
      <c r="J5" s="734"/>
      <c r="K5" s="734"/>
      <c r="L5" s="734"/>
    </row>
    <row r="6" spans="2:12" ht="18" customHeight="1">
      <c r="B6" s="7"/>
      <c r="C6" s="8"/>
      <c r="D6" s="8"/>
      <c r="E6" s="8"/>
      <c r="F6" s="735" t="s">
        <v>34</v>
      </c>
      <c r="G6" s="735"/>
      <c r="H6" s="735"/>
      <c r="I6" s="735"/>
      <c r="J6" s="735"/>
      <c r="K6" s="735"/>
      <c r="L6" s="735"/>
    </row>
    <row r="7" spans="2:12" ht="18" customHeight="1">
      <c r="B7" s="9"/>
      <c r="C7" s="10"/>
      <c r="D7" s="10"/>
      <c r="E7" s="10"/>
      <c r="F7" s="735"/>
      <c r="G7" s="735"/>
      <c r="H7" s="735"/>
      <c r="I7" s="735"/>
      <c r="J7" s="735"/>
      <c r="K7" s="735"/>
      <c r="L7" s="735"/>
    </row>
    <row r="8" spans="2:12" ht="4.5" customHeight="1">
      <c r="B8" s="11"/>
      <c r="C8" s="12"/>
      <c r="D8" s="12"/>
      <c r="E8" s="12"/>
      <c r="F8" s="11"/>
      <c r="G8" s="17"/>
      <c r="H8" s="23"/>
      <c r="I8" s="17"/>
      <c r="J8" s="17"/>
      <c r="K8" s="15"/>
      <c r="L8" s="13"/>
    </row>
    <row r="9" spans="2:12" ht="24" customHeight="1">
      <c r="B9" s="743" t="s">
        <v>103</v>
      </c>
      <c r="C9" s="744"/>
      <c r="D9" s="744"/>
      <c r="E9" s="744"/>
      <c r="F9" s="743" t="s">
        <v>1063</v>
      </c>
      <c r="G9" s="744"/>
      <c r="H9" s="744"/>
      <c r="I9" s="744"/>
      <c r="J9" s="744"/>
      <c r="K9" s="744"/>
      <c r="L9" s="745"/>
    </row>
    <row r="10" spans="2:12" ht="24" customHeight="1">
      <c r="B10" s="743" t="s">
        <v>102</v>
      </c>
      <c r="C10" s="744"/>
      <c r="D10" s="744"/>
      <c r="E10" s="744"/>
      <c r="F10" s="746" t="s">
        <v>584</v>
      </c>
      <c r="G10" s="747"/>
      <c r="H10" s="747"/>
      <c r="I10" s="747"/>
      <c r="J10" s="747"/>
      <c r="K10" s="747"/>
      <c r="L10" s="748"/>
    </row>
    <row r="11" spans="2:12" s="4" customFormat="1" ht="4.5" customHeight="1" thickBot="1">
      <c r="B11" s="738"/>
      <c r="C11" s="739"/>
      <c r="D11" s="182"/>
      <c r="E11" s="182"/>
      <c r="F11" s="181"/>
      <c r="G11" s="169"/>
      <c r="H11" s="24"/>
      <c r="I11" s="169"/>
      <c r="J11" s="169"/>
      <c r="K11" s="170"/>
      <c r="L11" s="171"/>
    </row>
    <row r="12" spans="2:12" ht="24.75" customHeight="1" thickBot="1">
      <c r="B12" s="740" t="s">
        <v>30</v>
      </c>
      <c r="C12" s="741"/>
      <c r="D12" s="741"/>
      <c r="E12" s="741"/>
      <c r="F12" s="741"/>
      <c r="G12" s="741"/>
      <c r="H12" s="741"/>
      <c r="I12" s="741"/>
      <c r="J12" s="741"/>
      <c r="K12" s="741"/>
      <c r="L12" s="742"/>
    </row>
    <row r="13" ht="4.5" customHeight="1" thickBot="1"/>
    <row r="14" spans="2:13" ht="30" customHeight="1">
      <c r="B14" s="722" t="s">
        <v>2</v>
      </c>
      <c r="C14" s="725" t="s">
        <v>3</v>
      </c>
      <c r="D14" s="725" t="s">
        <v>39</v>
      </c>
      <c r="E14" s="731" t="s">
        <v>40</v>
      </c>
      <c r="F14" s="725" t="s">
        <v>4</v>
      </c>
      <c r="G14" s="727" t="s">
        <v>5</v>
      </c>
      <c r="H14" s="729" t="s">
        <v>13</v>
      </c>
      <c r="I14" s="677" t="s">
        <v>80</v>
      </c>
      <c r="J14" s="720" t="s">
        <v>43</v>
      </c>
      <c r="K14" s="720" t="s">
        <v>44</v>
      </c>
      <c r="L14" s="736" t="s">
        <v>35</v>
      </c>
      <c r="M14" s="684"/>
    </row>
    <row r="15" spans="2:12" ht="24" customHeight="1" thickBot="1">
      <c r="B15" s="723"/>
      <c r="C15" s="726"/>
      <c r="D15" s="726"/>
      <c r="E15" s="732"/>
      <c r="F15" s="726"/>
      <c r="G15" s="728"/>
      <c r="H15" s="730"/>
      <c r="I15" s="685">
        <f>BDI!D46</f>
        <v>24.93</v>
      </c>
      <c r="J15" s="721"/>
      <c r="K15" s="721"/>
      <c r="L15" s="737"/>
    </row>
    <row r="16" spans="2:12" ht="4.5" customHeight="1" thickBot="1">
      <c r="B16" s="193"/>
      <c r="C16" s="194"/>
      <c r="D16" s="194"/>
      <c r="E16" s="194"/>
      <c r="F16" s="195"/>
      <c r="G16" s="196"/>
      <c r="H16" s="197"/>
      <c r="I16" s="196"/>
      <c r="J16" s="196"/>
      <c r="K16" s="198"/>
      <c r="L16" s="199"/>
    </row>
    <row r="17" spans="2:12" ht="18" customHeight="1" thickBot="1">
      <c r="B17" s="545" t="s">
        <v>6</v>
      </c>
      <c r="C17" s="546" t="s">
        <v>7</v>
      </c>
      <c r="D17" s="547"/>
      <c r="E17" s="547"/>
      <c r="F17" s="548"/>
      <c r="G17" s="549"/>
      <c r="H17" s="549"/>
      <c r="I17" s="549"/>
      <c r="J17" s="550"/>
      <c r="K17" s="551">
        <f>SUM(J18:J22)</f>
        <v>9291.32</v>
      </c>
      <c r="L17" s="552">
        <f>K17/$K$269</f>
        <v>0.013692879972695944</v>
      </c>
    </row>
    <row r="18" spans="2:12" s="19" customFormat="1" ht="18" customHeight="1">
      <c r="B18" s="240" t="s">
        <v>592</v>
      </c>
      <c r="C18" s="543" t="s">
        <v>31</v>
      </c>
      <c r="D18" s="544" t="s">
        <v>41</v>
      </c>
      <c r="E18" s="544" t="s">
        <v>42</v>
      </c>
      <c r="F18" s="241" t="s">
        <v>0</v>
      </c>
      <c r="G18" s="202" t="s">
        <v>238</v>
      </c>
      <c r="H18" s="233">
        <v>216.61</v>
      </c>
      <c r="I18" s="202">
        <f>ROUND(H18*($I$15/100+1),2)</f>
        <v>270.61</v>
      </c>
      <c r="J18" s="202">
        <f>ROUND(G18*I18,2)</f>
        <v>811.83</v>
      </c>
      <c r="K18" s="405"/>
      <c r="L18" s="406"/>
    </row>
    <row r="19" spans="2:12" s="19" customFormat="1" ht="50.25" customHeight="1">
      <c r="B19" s="240" t="s">
        <v>593</v>
      </c>
      <c r="C19" s="324" t="s">
        <v>230</v>
      </c>
      <c r="D19" s="201" t="s">
        <v>41</v>
      </c>
      <c r="E19" s="201" t="s">
        <v>225</v>
      </c>
      <c r="F19" s="203" t="s">
        <v>0</v>
      </c>
      <c r="G19" s="204" t="s">
        <v>239</v>
      </c>
      <c r="H19" s="205">
        <v>281.1</v>
      </c>
      <c r="I19" s="202">
        <f>ROUND(H19*($I$15/100+1),2)</f>
        <v>351.18</v>
      </c>
      <c r="J19" s="202">
        <f>ROUND(G19*I19,2)</f>
        <v>2809.44</v>
      </c>
      <c r="K19" s="206"/>
      <c r="L19" s="207"/>
    </row>
    <row r="20" spans="2:12" s="19" customFormat="1" ht="36.75" customHeight="1">
      <c r="B20" s="240" t="s">
        <v>594</v>
      </c>
      <c r="C20" s="246" t="s">
        <v>229</v>
      </c>
      <c r="D20" s="201" t="s">
        <v>41</v>
      </c>
      <c r="E20" s="201" t="s">
        <v>226</v>
      </c>
      <c r="F20" s="203" t="s">
        <v>1</v>
      </c>
      <c r="G20" s="204" t="s">
        <v>240</v>
      </c>
      <c r="H20" s="205">
        <v>1232.34</v>
      </c>
      <c r="I20" s="202">
        <f>ROUND(H20*($I$15/100+1),2)</f>
        <v>1539.56</v>
      </c>
      <c r="J20" s="202">
        <f>ROUND(G20*I20,2)</f>
        <v>1539.56</v>
      </c>
      <c r="K20" s="206"/>
      <c r="L20" s="207"/>
    </row>
    <row r="21" spans="2:12" s="19" customFormat="1" ht="34.5" customHeight="1">
      <c r="B21" s="240" t="s">
        <v>595</v>
      </c>
      <c r="C21" s="450" t="s">
        <v>231</v>
      </c>
      <c r="D21" s="358" t="s">
        <v>227</v>
      </c>
      <c r="E21" s="358">
        <v>450102</v>
      </c>
      <c r="F21" s="216" t="s">
        <v>1</v>
      </c>
      <c r="G21" s="239" t="s">
        <v>240</v>
      </c>
      <c r="H21" s="235">
        <v>729.45</v>
      </c>
      <c r="I21" s="202">
        <f>ROUND(H21*($I$15/100+1),2)</f>
        <v>911.3</v>
      </c>
      <c r="J21" s="202">
        <f>ROUND(G21*I21,2)</f>
        <v>911.3</v>
      </c>
      <c r="K21" s="398"/>
      <c r="L21" s="238"/>
    </row>
    <row r="22" spans="2:12" s="19" customFormat="1" ht="30.75" thickBot="1">
      <c r="B22" s="240" t="s">
        <v>596</v>
      </c>
      <c r="C22" s="553" t="s">
        <v>470</v>
      </c>
      <c r="D22" s="554" t="s">
        <v>41</v>
      </c>
      <c r="E22" s="554" t="s">
        <v>471</v>
      </c>
      <c r="F22" s="555" t="s">
        <v>0</v>
      </c>
      <c r="G22" s="556" t="s">
        <v>241</v>
      </c>
      <c r="H22" s="557">
        <v>6.89</v>
      </c>
      <c r="I22" s="202">
        <f>ROUND(H22*($I$15/100+1),2)</f>
        <v>8.61</v>
      </c>
      <c r="J22" s="202">
        <f>ROUND(G22*I22,2)</f>
        <v>3219.19</v>
      </c>
      <c r="K22" s="559"/>
      <c r="L22" s="560"/>
    </row>
    <row r="23" spans="2:12" ht="18" customHeight="1" thickBot="1">
      <c r="B23" s="561" t="s">
        <v>64</v>
      </c>
      <c r="C23" s="546" t="s">
        <v>18</v>
      </c>
      <c r="D23" s="547"/>
      <c r="E23" s="562"/>
      <c r="F23" s="548"/>
      <c r="G23" s="549"/>
      <c r="H23" s="549"/>
      <c r="I23" s="549"/>
      <c r="J23" s="550"/>
      <c r="K23" s="563">
        <f>SUM(J24:J34)</f>
        <v>66939.08</v>
      </c>
      <c r="L23" s="552">
        <f>K23/$K$269</f>
        <v>0.09865000752559289</v>
      </c>
    </row>
    <row r="24" spans="2:12" ht="30">
      <c r="B24" s="240" t="s">
        <v>597</v>
      </c>
      <c r="C24" s="543" t="s">
        <v>228</v>
      </c>
      <c r="D24" s="544" t="s">
        <v>41</v>
      </c>
      <c r="E24" s="544" t="s">
        <v>235</v>
      </c>
      <c r="F24" s="241" t="s">
        <v>17</v>
      </c>
      <c r="G24" s="202" t="s">
        <v>243</v>
      </c>
      <c r="H24" s="233">
        <v>35.2</v>
      </c>
      <c r="I24" s="202">
        <f>ROUND(H24*($I$15/100+1),2)</f>
        <v>43.98</v>
      </c>
      <c r="J24" s="202">
        <f>ROUND(G24*I24,2)</f>
        <v>4683.87</v>
      </c>
      <c r="K24" s="405"/>
      <c r="L24" s="406"/>
    </row>
    <row r="25" spans="2:12" ht="15.75">
      <c r="B25" s="240" t="s">
        <v>598</v>
      </c>
      <c r="C25" s="324" t="s">
        <v>233</v>
      </c>
      <c r="D25" s="201" t="s">
        <v>41</v>
      </c>
      <c r="E25" s="201">
        <v>5622</v>
      </c>
      <c r="F25" s="203" t="s">
        <v>0</v>
      </c>
      <c r="G25" s="204" t="s">
        <v>242</v>
      </c>
      <c r="H25" s="205">
        <v>3.31</v>
      </c>
      <c r="I25" s="202">
        <f aca="true" t="shared" si="0" ref="I25:I34">ROUND(H25*($I$15/100+1),2)</f>
        <v>4.14</v>
      </c>
      <c r="J25" s="202">
        <f aca="true" t="shared" si="1" ref="J25:J34">ROUND(G25*I25,2)</f>
        <v>358.69</v>
      </c>
      <c r="K25" s="211"/>
      <c r="L25" s="207"/>
    </row>
    <row r="26" spans="2:12" s="19" customFormat="1" ht="18" customHeight="1">
      <c r="B26" s="240" t="s">
        <v>599</v>
      </c>
      <c r="C26" s="208" t="s">
        <v>246</v>
      </c>
      <c r="D26" s="201" t="s">
        <v>41</v>
      </c>
      <c r="E26" s="203" t="s">
        <v>251</v>
      </c>
      <c r="F26" s="203" t="s">
        <v>17</v>
      </c>
      <c r="G26" s="404" t="s">
        <v>255</v>
      </c>
      <c r="H26" s="205">
        <v>89.94</v>
      </c>
      <c r="I26" s="202">
        <f t="shared" si="0"/>
        <v>112.36</v>
      </c>
      <c r="J26" s="202">
        <f t="shared" si="1"/>
        <v>635.96</v>
      </c>
      <c r="K26" s="211"/>
      <c r="L26" s="207"/>
    </row>
    <row r="27" spans="2:13" s="19" customFormat="1" ht="15.75">
      <c r="B27" s="240" t="s">
        <v>600</v>
      </c>
      <c r="C27" s="208" t="s">
        <v>247</v>
      </c>
      <c r="D27" s="201" t="s">
        <v>41</v>
      </c>
      <c r="E27" s="203">
        <v>5651</v>
      </c>
      <c r="F27" s="203" t="s">
        <v>0</v>
      </c>
      <c r="G27" s="204" t="s">
        <v>256</v>
      </c>
      <c r="H27" s="205">
        <v>25.15</v>
      </c>
      <c r="I27" s="202">
        <f t="shared" si="0"/>
        <v>31.42</v>
      </c>
      <c r="J27" s="202">
        <f t="shared" si="1"/>
        <v>13084.54</v>
      </c>
      <c r="K27" s="211"/>
      <c r="L27" s="207"/>
      <c r="M27" s="680">
        <f>SUM(J27:J29)</f>
        <v>42137.45</v>
      </c>
    </row>
    <row r="28" spans="2:13" s="19" customFormat="1" ht="18" customHeight="1">
      <c r="B28" s="240" t="s">
        <v>601</v>
      </c>
      <c r="C28" s="208" t="s">
        <v>248</v>
      </c>
      <c r="D28" s="201" t="s">
        <v>41</v>
      </c>
      <c r="E28" s="203" t="s">
        <v>472</v>
      </c>
      <c r="F28" s="203" t="s">
        <v>140</v>
      </c>
      <c r="G28" s="204" t="s">
        <v>257</v>
      </c>
      <c r="H28" s="205">
        <v>6.22</v>
      </c>
      <c r="I28" s="202">
        <f t="shared" si="0"/>
        <v>7.77</v>
      </c>
      <c r="J28" s="202">
        <f t="shared" si="1"/>
        <v>15696.25</v>
      </c>
      <c r="K28" s="211"/>
      <c r="L28" s="207"/>
      <c r="M28" s="681">
        <v>46664.380000000005</v>
      </c>
    </row>
    <row r="29" spans="2:12" s="19" customFormat="1" ht="15.75">
      <c r="B29" s="240" t="s">
        <v>602</v>
      </c>
      <c r="C29" s="357" t="s">
        <v>907</v>
      </c>
      <c r="D29" s="358" t="s">
        <v>41</v>
      </c>
      <c r="E29" s="216" t="s">
        <v>876</v>
      </c>
      <c r="F29" s="216" t="s">
        <v>17</v>
      </c>
      <c r="G29" s="239" t="s">
        <v>258</v>
      </c>
      <c r="H29" s="466">
        <f>344.88</f>
        <v>344.88</v>
      </c>
      <c r="I29" s="202">
        <f t="shared" si="0"/>
        <v>430.86</v>
      </c>
      <c r="J29" s="202">
        <f t="shared" si="1"/>
        <v>13356.66</v>
      </c>
      <c r="K29" s="247"/>
      <c r="L29" s="238"/>
    </row>
    <row r="30" spans="2:12" s="19" customFormat="1" ht="30">
      <c r="B30" s="240" t="s">
        <v>911</v>
      </c>
      <c r="C30" s="687" t="s">
        <v>877</v>
      </c>
      <c r="D30" s="358" t="s">
        <v>41</v>
      </c>
      <c r="E30" s="216">
        <v>83519</v>
      </c>
      <c r="F30" s="216" t="s">
        <v>17</v>
      </c>
      <c r="G30" s="239" t="s">
        <v>259</v>
      </c>
      <c r="H30" s="688">
        <v>356.39</v>
      </c>
      <c r="I30" s="202">
        <f t="shared" si="0"/>
        <v>445.24</v>
      </c>
      <c r="J30" s="202">
        <f t="shared" si="1"/>
        <v>4434.59</v>
      </c>
      <c r="K30" s="247"/>
      <c r="L30" s="238"/>
    </row>
    <row r="31" spans="2:12" s="19" customFormat="1" ht="30">
      <c r="B31" s="240" t="s">
        <v>912</v>
      </c>
      <c r="C31" s="208" t="s">
        <v>249</v>
      </c>
      <c r="D31" s="201" t="s">
        <v>41</v>
      </c>
      <c r="E31" s="200" t="s">
        <v>253</v>
      </c>
      <c r="F31" s="203" t="s">
        <v>0</v>
      </c>
      <c r="G31" s="204" t="s">
        <v>260</v>
      </c>
      <c r="H31" s="350">
        <v>36.78</v>
      </c>
      <c r="I31" s="202">
        <f t="shared" si="0"/>
        <v>45.95</v>
      </c>
      <c r="J31" s="202">
        <f t="shared" si="1"/>
        <v>8005.41</v>
      </c>
      <c r="K31" s="209"/>
      <c r="L31" s="207"/>
    </row>
    <row r="32" spans="2:12" s="19" customFormat="1" ht="30">
      <c r="B32" s="240" t="s">
        <v>913</v>
      </c>
      <c r="C32" s="208" t="s">
        <v>250</v>
      </c>
      <c r="D32" s="201" t="s">
        <v>41</v>
      </c>
      <c r="E32" s="200" t="s">
        <v>254</v>
      </c>
      <c r="F32" s="203" t="s">
        <v>0</v>
      </c>
      <c r="G32" s="204" t="s">
        <v>260</v>
      </c>
      <c r="H32" s="205">
        <v>6.59</v>
      </c>
      <c r="I32" s="202">
        <f t="shared" si="0"/>
        <v>8.23</v>
      </c>
      <c r="J32" s="202">
        <f t="shared" si="1"/>
        <v>1433.83</v>
      </c>
      <c r="K32" s="209"/>
      <c r="L32" s="207"/>
    </row>
    <row r="33" spans="2:12" s="19" customFormat="1" ht="30">
      <c r="B33" s="240" t="s">
        <v>914</v>
      </c>
      <c r="C33" s="324" t="s">
        <v>232</v>
      </c>
      <c r="D33" s="201" t="s">
        <v>41</v>
      </c>
      <c r="E33" s="201" t="s">
        <v>236</v>
      </c>
      <c r="F33" s="203" t="s">
        <v>17</v>
      </c>
      <c r="G33" s="204" t="s">
        <v>244</v>
      </c>
      <c r="H33" s="350">
        <v>21.12</v>
      </c>
      <c r="I33" s="202">
        <f t="shared" si="0"/>
        <v>26.39</v>
      </c>
      <c r="J33" s="202">
        <f t="shared" si="1"/>
        <v>2122.02</v>
      </c>
      <c r="K33" s="211"/>
      <c r="L33" s="207"/>
    </row>
    <row r="34" spans="2:12" s="19" customFormat="1" ht="30.75" thickBot="1">
      <c r="B34" s="240" t="s">
        <v>915</v>
      </c>
      <c r="C34" s="324" t="s">
        <v>234</v>
      </c>
      <c r="D34" s="201" t="s">
        <v>41</v>
      </c>
      <c r="E34" s="201" t="s">
        <v>237</v>
      </c>
      <c r="F34" s="203" t="s">
        <v>17</v>
      </c>
      <c r="G34" s="204" t="s">
        <v>245</v>
      </c>
      <c r="H34" s="205">
        <v>22.28</v>
      </c>
      <c r="I34" s="202">
        <f t="shared" si="0"/>
        <v>27.83</v>
      </c>
      <c r="J34" s="202">
        <f t="shared" si="1"/>
        <v>3127.26</v>
      </c>
      <c r="K34" s="211"/>
      <c r="L34" s="207"/>
    </row>
    <row r="35" spans="2:12" ht="18" customHeight="1" thickBot="1">
      <c r="B35" s="561" t="s">
        <v>8</v>
      </c>
      <c r="C35" s="546" t="s">
        <v>20</v>
      </c>
      <c r="D35" s="547"/>
      <c r="E35" s="562"/>
      <c r="F35" s="548"/>
      <c r="G35" s="549"/>
      <c r="H35" s="549"/>
      <c r="I35" s="549"/>
      <c r="J35" s="550"/>
      <c r="K35" s="563">
        <f>SUM(J36:J39)</f>
        <v>60415.149999999994</v>
      </c>
      <c r="L35" s="552">
        <f>K35/$K$269</f>
        <v>0.08903550813903958</v>
      </c>
    </row>
    <row r="36" spans="2:13" s="19" customFormat="1" ht="60">
      <c r="B36" s="200" t="s">
        <v>603</v>
      </c>
      <c r="C36" s="208" t="s">
        <v>261</v>
      </c>
      <c r="D36" s="201" t="s">
        <v>41</v>
      </c>
      <c r="E36" s="200" t="s">
        <v>262</v>
      </c>
      <c r="F36" s="203" t="s">
        <v>0</v>
      </c>
      <c r="G36" s="204" t="s">
        <v>264</v>
      </c>
      <c r="H36" s="210">
        <v>51.29</v>
      </c>
      <c r="I36" s="202">
        <f>ROUND(H36*($I$15/100+1),2)</f>
        <v>64.08</v>
      </c>
      <c r="J36" s="202">
        <f>ROUND(G36*I36,2)</f>
        <v>7615.91</v>
      </c>
      <c r="K36" s="211"/>
      <c r="L36" s="207"/>
      <c r="M36" s="680">
        <f>SUM(J36:J38)</f>
        <v>33398.27</v>
      </c>
    </row>
    <row r="37" spans="2:13" s="19" customFormat="1" ht="18" customHeight="1">
      <c r="B37" s="200" t="s">
        <v>740</v>
      </c>
      <c r="C37" s="208" t="s">
        <v>248</v>
      </c>
      <c r="D37" s="201" t="s">
        <v>41</v>
      </c>
      <c r="E37" s="203" t="s">
        <v>472</v>
      </c>
      <c r="F37" s="203" t="s">
        <v>140</v>
      </c>
      <c r="G37" s="204" t="s">
        <v>265</v>
      </c>
      <c r="H37" s="205">
        <v>6.22</v>
      </c>
      <c r="I37" s="202">
        <f>ROUND(H37*($I$15/100+1),2)</f>
        <v>7.77</v>
      </c>
      <c r="J37" s="202">
        <f>ROUND(G37*I37,2)</f>
        <v>20590.5</v>
      </c>
      <c r="K37" s="211"/>
      <c r="L37" s="207"/>
      <c r="M37" s="681">
        <v>35157.93</v>
      </c>
    </row>
    <row r="38" spans="2:14" s="22" customFormat="1" ht="15.75">
      <c r="B38" s="200" t="s">
        <v>741</v>
      </c>
      <c r="C38" s="357" t="s">
        <v>907</v>
      </c>
      <c r="D38" s="358" t="s">
        <v>41</v>
      </c>
      <c r="E38" s="216" t="s">
        <v>876</v>
      </c>
      <c r="F38" s="216" t="s">
        <v>17</v>
      </c>
      <c r="G38" s="235" t="s">
        <v>266</v>
      </c>
      <c r="H38" s="466">
        <f>344.88</f>
        <v>344.88</v>
      </c>
      <c r="I38" s="202">
        <f>ROUND(H38*($I$15/100+1),2)</f>
        <v>430.86</v>
      </c>
      <c r="J38" s="202">
        <f>ROUND(G38*I38,2)</f>
        <v>5191.86</v>
      </c>
      <c r="K38" s="361"/>
      <c r="L38" s="238"/>
      <c r="M38" s="682"/>
      <c r="N38" s="682"/>
    </row>
    <row r="39" spans="2:12" s="22" customFormat="1" ht="45.75" thickBot="1">
      <c r="B39" s="716" t="s">
        <v>742</v>
      </c>
      <c r="C39" s="446" t="s">
        <v>879</v>
      </c>
      <c r="D39" s="447" t="s">
        <v>41</v>
      </c>
      <c r="E39" s="448" t="s">
        <v>263</v>
      </c>
      <c r="F39" s="449" t="s">
        <v>0</v>
      </c>
      <c r="G39" s="451" t="s">
        <v>267</v>
      </c>
      <c r="H39" s="452">
        <v>77.18</v>
      </c>
      <c r="I39" s="558">
        <f>ROUND(H39*($I$15/100+1),2)</f>
        <v>96.42</v>
      </c>
      <c r="J39" s="558">
        <f>ROUND(G39*I39,2)</f>
        <v>27016.88</v>
      </c>
      <c r="K39" s="608"/>
      <c r="L39" s="463"/>
    </row>
    <row r="40" spans="2:12" s="22" customFormat="1" ht="18" customHeight="1" thickBot="1">
      <c r="B40" s="561" t="s">
        <v>920</v>
      </c>
      <c r="C40" s="546" t="s">
        <v>268</v>
      </c>
      <c r="D40" s="547"/>
      <c r="E40" s="562"/>
      <c r="F40" s="548"/>
      <c r="G40" s="549"/>
      <c r="H40" s="549"/>
      <c r="I40" s="549"/>
      <c r="J40" s="550"/>
      <c r="K40" s="563">
        <f>SUM(J41:J50)</f>
        <v>46286.09</v>
      </c>
      <c r="L40" s="552">
        <f>K40/$K$269</f>
        <v>0.06821311447409001</v>
      </c>
    </row>
    <row r="41" spans="2:12" s="22" customFormat="1" ht="30">
      <c r="B41" s="200" t="s">
        <v>921</v>
      </c>
      <c r="C41" s="357" t="s">
        <v>878</v>
      </c>
      <c r="D41" s="358" t="s">
        <v>45</v>
      </c>
      <c r="E41" s="356" t="s">
        <v>477</v>
      </c>
      <c r="F41" s="216" t="s">
        <v>0</v>
      </c>
      <c r="G41" s="239">
        <f>'Memorial de Cálculo'!L25</f>
        <v>666.9</v>
      </c>
      <c r="H41" s="359">
        <v>35.34</v>
      </c>
      <c r="I41" s="360">
        <f>ROUND(H41*($I$15/100+1),2)</f>
        <v>44.15</v>
      </c>
      <c r="J41" s="360">
        <f>ROUND(G41*I41,2)</f>
        <v>29443.64</v>
      </c>
      <c r="K41" s="361"/>
      <c r="L41" s="238"/>
    </row>
    <row r="42" spans="2:12" s="22" customFormat="1" ht="18" customHeight="1">
      <c r="B42" s="200" t="s">
        <v>922</v>
      </c>
      <c r="C42" s="446" t="s">
        <v>743</v>
      </c>
      <c r="D42" s="447" t="s">
        <v>227</v>
      </c>
      <c r="E42" s="448">
        <v>142001</v>
      </c>
      <c r="F42" s="449" t="s">
        <v>17</v>
      </c>
      <c r="G42" s="451" t="s">
        <v>269</v>
      </c>
      <c r="H42" s="452">
        <v>912.87</v>
      </c>
      <c r="I42" s="360">
        <f>ROUND(H42*($I$15/100+1),2)</f>
        <v>1140.45</v>
      </c>
      <c r="J42" s="360">
        <f>ROUND(G42*I42,2)</f>
        <v>6112.81</v>
      </c>
      <c r="K42" s="361"/>
      <c r="L42" s="238"/>
    </row>
    <row r="43" spans="2:12" s="22" customFormat="1" ht="18" customHeight="1">
      <c r="B43" s="564" t="s">
        <v>923</v>
      </c>
      <c r="C43" s="565" t="s">
        <v>473</v>
      </c>
      <c r="D43" s="566"/>
      <c r="E43" s="567"/>
      <c r="F43" s="568"/>
      <c r="G43" s="569"/>
      <c r="H43" s="570"/>
      <c r="I43" s="569"/>
      <c r="J43" s="571"/>
      <c r="K43" s="572"/>
      <c r="L43" s="573"/>
    </row>
    <row r="44" spans="2:12" s="22" customFormat="1" ht="30">
      <c r="B44" s="200" t="s">
        <v>924</v>
      </c>
      <c r="C44" s="357" t="s">
        <v>878</v>
      </c>
      <c r="D44" s="358" t="s">
        <v>45</v>
      </c>
      <c r="E44" s="356" t="s">
        <v>477</v>
      </c>
      <c r="F44" s="241" t="s">
        <v>0</v>
      </c>
      <c r="G44" s="202" t="s">
        <v>270</v>
      </c>
      <c r="H44" s="359">
        <v>35.34</v>
      </c>
      <c r="I44" s="202">
        <f>ROUND(H44*($I$15/100+1),2)</f>
        <v>44.15</v>
      </c>
      <c r="J44" s="202">
        <f>ROUND(G44*I44,2)</f>
        <v>2323.17</v>
      </c>
      <c r="K44" s="325"/>
      <c r="L44" s="207"/>
    </row>
    <row r="45" spans="2:12" s="22" customFormat="1" ht="60">
      <c r="B45" s="200" t="s">
        <v>925</v>
      </c>
      <c r="C45" s="208" t="s">
        <v>261</v>
      </c>
      <c r="D45" s="201" t="s">
        <v>41</v>
      </c>
      <c r="E45" s="200" t="s">
        <v>262</v>
      </c>
      <c r="F45" s="203" t="s">
        <v>0</v>
      </c>
      <c r="G45" s="204" t="s">
        <v>271</v>
      </c>
      <c r="H45" s="351">
        <v>51.29</v>
      </c>
      <c r="I45" s="202">
        <f>ROUND(H45*($I$15/100+1),2)</f>
        <v>64.08</v>
      </c>
      <c r="J45" s="202">
        <f>ROUND(G45*I45,2)</f>
        <v>692.06</v>
      </c>
      <c r="K45" s="325"/>
      <c r="L45" s="207"/>
    </row>
    <row r="46" spans="2:12" s="22" customFormat="1" ht="18" customHeight="1">
      <c r="B46" s="200" t="s">
        <v>926</v>
      </c>
      <c r="C46" s="208" t="s">
        <v>248</v>
      </c>
      <c r="D46" s="201" t="s">
        <v>41</v>
      </c>
      <c r="E46" s="200" t="s">
        <v>472</v>
      </c>
      <c r="F46" s="203" t="s">
        <v>140</v>
      </c>
      <c r="G46" s="204" t="s">
        <v>272</v>
      </c>
      <c r="H46" s="210">
        <v>6.22</v>
      </c>
      <c r="I46" s="202">
        <f>ROUND(H46*($I$15/100+1),2)</f>
        <v>7.77</v>
      </c>
      <c r="J46" s="202">
        <f>ROUND(G46*I46,2)</f>
        <v>290.91</v>
      </c>
      <c r="K46" s="325"/>
      <c r="L46" s="207"/>
    </row>
    <row r="47" spans="2:12" s="22" customFormat="1" ht="15.75">
      <c r="B47" s="200" t="s">
        <v>927</v>
      </c>
      <c r="C47" s="357" t="s">
        <v>907</v>
      </c>
      <c r="D47" s="358" t="s">
        <v>41</v>
      </c>
      <c r="E47" s="216" t="s">
        <v>876</v>
      </c>
      <c r="F47" s="203" t="s">
        <v>17</v>
      </c>
      <c r="G47" s="204" t="s">
        <v>273</v>
      </c>
      <c r="H47" s="466">
        <f>344.88</f>
        <v>344.88</v>
      </c>
      <c r="I47" s="202">
        <f>ROUND(H47*($I$15/100+1),2)</f>
        <v>430.86</v>
      </c>
      <c r="J47" s="202">
        <f>ROUND(G47*I47,2)</f>
        <v>155.11</v>
      </c>
      <c r="K47" s="325"/>
      <c r="L47" s="207"/>
    </row>
    <row r="48" spans="2:12" s="22" customFormat="1" ht="18" customHeight="1">
      <c r="B48" s="564" t="s">
        <v>928</v>
      </c>
      <c r="C48" s="565" t="s">
        <v>910</v>
      </c>
      <c r="D48" s="566"/>
      <c r="E48" s="567"/>
      <c r="F48" s="568"/>
      <c r="G48" s="569"/>
      <c r="H48" s="570"/>
      <c r="I48" s="574"/>
      <c r="J48" s="575"/>
      <c r="K48" s="576"/>
      <c r="L48" s="573"/>
    </row>
    <row r="49" spans="2:12" s="22" customFormat="1" ht="30">
      <c r="B49" s="200" t="s">
        <v>929</v>
      </c>
      <c r="C49" s="357" t="s">
        <v>878</v>
      </c>
      <c r="D49" s="356" t="s">
        <v>477</v>
      </c>
      <c r="E49" s="216" t="s">
        <v>0</v>
      </c>
      <c r="F49" s="203" t="s">
        <v>0</v>
      </c>
      <c r="G49" s="210">
        <f>'Memorial de Cálculo'!L30</f>
        <v>116.37</v>
      </c>
      <c r="H49" s="359">
        <v>35.34</v>
      </c>
      <c r="I49" s="204">
        <f>ROUND(H49*($I$15/100+1),2)</f>
        <v>44.15</v>
      </c>
      <c r="J49" s="204">
        <f>ROUND(G49*I49,2)</f>
        <v>5137.74</v>
      </c>
      <c r="K49" s="325"/>
      <c r="L49" s="207"/>
    </row>
    <row r="50" spans="2:12" s="22" customFormat="1" ht="16.5" thickBot="1">
      <c r="B50" s="200" t="s">
        <v>930</v>
      </c>
      <c r="C50" s="446" t="s">
        <v>587</v>
      </c>
      <c r="D50" s="447" t="s">
        <v>227</v>
      </c>
      <c r="E50" s="448">
        <v>142001</v>
      </c>
      <c r="F50" s="449" t="s">
        <v>17</v>
      </c>
      <c r="G50" s="452">
        <f>'Memorial de Cálculo'!L34</f>
        <v>1.8682500000000002</v>
      </c>
      <c r="H50" s="607">
        <v>912.87</v>
      </c>
      <c r="I50" s="204">
        <f>ROUND(H50*($I$15/100+1),2)</f>
        <v>1140.45</v>
      </c>
      <c r="J50" s="204">
        <f>ROUND(G50*I50,2)</f>
        <v>2130.65</v>
      </c>
      <c r="K50" s="608"/>
      <c r="L50" s="463"/>
    </row>
    <row r="51" spans="2:12" ht="18" customHeight="1" thickBot="1">
      <c r="B51" s="561" t="s">
        <v>9</v>
      </c>
      <c r="C51" s="546" t="s">
        <v>19</v>
      </c>
      <c r="D51" s="547"/>
      <c r="E51" s="562"/>
      <c r="F51" s="548"/>
      <c r="G51" s="549"/>
      <c r="H51" s="549"/>
      <c r="I51" s="549"/>
      <c r="J51" s="550"/>
      <c r="K51" s="563">
        <f>SUM(J52:J61)</f>
        <v>66798.51000000001</v>
      </c>
      <c r="L51" s="552">
        <f>K51/$K$269</f>
        <v>0.098442845557459</v>
      </c>
    </row>
    <row r="52" spans="2:12" s="19" customFormat="1" ht="30">
      <c r="B52" s="276" t="s">
        <v>604</v>
      </c>
      <c r="C52" s="457" t="s">
        <v>93</v>
      </c>
      <c r="D52" s="609" t="s">
        <v>41</v>
      </c>
      <c r="E52" s="366">
        <v>72110</v>
      </c>
      <c r="F52" s="276" t="s">
        <v>0</v>
      </c>
      <c r="G52" s="360">
        <f>'Memorial de Cálculo'!L39</f>
        <v>246.14</v>
      </c>
      <c r="H52" s="610">
        <v>62.07</v>
      </c>
      <c r="I52" s="360">
        <f>ROUND(H52*($I$15/100+1),2)</f>
        <v>77.54</v>
      </c>
      <c r="J52" s="360">
        <f>ROUND(G52*I52,2)</f>
        <v>19085.7</v>
      </c>
      <c r="K52" s="459"/>
      <c r="L52" s="373"/>
    </row>
    <row r="53" spans="2:12" s="19" customFormat="1" ht="45">
      <c r="B53" s="276" t="s">
        <v>605</v>
      </c>
      <c r="C53" s="275" t="s">
        <v>131</v>
      </c>
      <c r="D53" s="276" t="s">
        <v>49</v>
      </c>
      <c r="E53" s="277" t="s">
        <v>94</v>
      </c>
      <c r="F53" s="216" t="s">
        <v>0</v>
      </c>
      <c r="G53" s="239">
        <f>'Memorial de Cálculo'!L42</f>
        <v>246.14</v>
      </c>
      <c r="H53" s="453">
        <v>93</v>
      </c>
      <c r="I53" s="360">
        <f>ROUND(H53*($I$15/100+1),2)</f>
        <v>116.18</v>
      </c>
      <c r="J53" s="360">
        <f>ROUND(G53*I53,2)</f>
        <v>28596.55</v>
      </c>
      <c r="K53" s="237"/>
      <c r="L53" s="238"/>
    </row>
    <row r="54" spans="2:12" s="19" customFormat="1" ht="18" customHeight="1">
      <c r="B54" s="276" t="s">
        <v>606</v>
      </c>
      <c r="C54" s="275" t="s">
        <v>95</v>
      </c>
      <c r="D54" s="276" t="s">
        <v>84</v>
      </c>
      <c r="E54" s="366" t="s">
        <v>96</v>
      </c>
      <c r="F54" s="216" t="s">
        <v>33</v>
      </c>
      <c r="G54" s="239">
        <f>'Memorial de Cálculo'!L46</f>
        <v>75.5</v>
      </c>
      <c r="H54" s="359">
        <v>22.99</v>
      </c>
      <c r="I54" s="360">
        <f>ROUND(H54*($I$15/100+1),2)</f>
        <v>28.72</v>
      </c>
      <c r="J54" s="360">
        <f>ROUND(G54*I54,2)</f>
        <v>2168.36</v>
      </c>
      <c r="K54" s="237"/>
      <c r="L54" s="238"/>
    </row>
    <row r="55" spans="2:12" s="19" customFormat="1" ht="15.75">
      <c r="B55" s="276" t="s">
        <v>474</v>
      </c>
      <c r="C55" s="446" t="s">
        <v>97</v>
      </c>
      <c r="D55" s="454" t="s">
        <v>45</v>
      </c>
      <c r="E55" s="448" t="s">
        <v>98</v>
      </c>
      <c r="F55" s="449" t="s">
        <v>33</v>
      </c>
      <c r="G55" s="451">
        <f>'Memorial de Cálculo'!L50</f>
        <v>131.76</v>
      </c>
      <c r="H55" s="452">
        <v>64.98</v>
      </c>
      <c r="I55" s="360">
        <f>ROUND(H55*($I$15/100+1),2)</f>
        <v>81.18</v>
      </c>
      <c r="J55" s="360">
        <f>ROUND(G55*I55,2)</f>
        <v>10696.28</v>
      </c>
      <c r="K55" s="596"/>
      <c r="L55" s="463"/>
    </row>
    <row r="56" spans="2:12" s="19" customFormat="1" ht="45">
      <c r="B56" s="276" t="s">
        <v>931</v>
      </c>
      <c r="C56" s="397" t="s">
        <v>881</v>
      </c>
      <c r="D56" s="469" t="s">
        <v>41</v>
      </c>
      <c r="E56" s="471" t="s">
        <v>880</v>
      </c>
      <c r="F56" s="216" t="s">
        <v>0</v>
      </c>
      <c r="G56" s="236">
        <f>'Memorial de Cálculo'!L53</f>
        <v>14.317500000000003</v>
      </c>
      <c r="H56" s="359">
        <v>58.93</v>
      </c>
      <c r="I56" s="360">
        <f>ROUND(H56*($I$15/100+1),2)</f>
        <v>73.62</v>
      </c>
      <c r="J56" s="360">
        <f>ROUND(G56*I56,2)</f>
        <v>1054.05</v>
      </c>
      <c r="K56" s="700"/>
      <c r="L56" s="701"/>
    </row>
    <row r="57" spans="2:12" s="19" customFormat="1" ht="15.75">
      <c r="B57" s="577" t="s">
        <v>932</v>
      </c>
      <c r="C57" s="565" t="s">
        <v>680</v>
      </c>
      <c r="D57" s="568"/>
      <c r="E57" s="567"/>
      <c r="F57" s="568"/>
      <c r="G57" s="569"/>
      <c r="H57" s="570"/>
      <c r="I57" s="569"/>
      <c r="J57" s="571"/>
      <c r="K57" s="578"/>
      <c r="L57" s="573"/>
    </row>
    <row r="58" spans="2:12" s="19" customFormat="1" ht="30">
      <c r="B58" s="216" t="s">
        <v>933</v>
      </c>
      <c r="C58" s="357" t="s">
        <v>878</v>
      </c>
      <c r="D58" s="358" t="s">
        <v>45</v>
      </c>
      <c r="E58" s="356" t="s">
        <v>477</v>
      </c>
      <c r="F58" s="216" t="s">
        <v>0</v>
      </c>
      <c r="G58" s="239">
        <f>'Memorial de Cálculo'!L57</f>
        <v>19.96</v>
      </c>
      <c r="H58" s="359">
        <v>35.34</v>
      </c>
      <c r="I58" s="239">
        <f>ROUND(H58*($I$15/100+1),2)</f>
        <v>44.15</v>
      </c>
      <c r="J58" s="239">
        <f>ROUND(G58*I58,2)</f>
        <v>881.23</v>
      </c>
      <c r="K58" s="398"/>
      <c r="L58" s="238"/>
    </row>
    <row r="59" spans="2:12" s="19" customFormat="1" ht="30">
      <c r="B59" s="216" t="s">
        <v>934</v>
      </c>
      <c r="C59" s="357" t="s">
        <v>407</v>
      </c>
      <c r="D59" s="243" t="s">
        <v>41</v>
      </c>
      <c r="E59" s="216">
        <v>87878</v>
      </c>
      <c r="F59" s="216" t="s">
        <v>0</v>
      </c>
      <c r="G59" s="239">
        <f>'Memorial de Cálculo'!L60</f>
        <v>27.445</v>
      </c>
      <c r="H59" s="359">
        <v>2.75</v>
      </c>
      <c r="I59" s="239">
        <f>ROUND(H59*($I$15/100+1),2)</f>
        <v>3.44</v>
      </c>
      <c r="J59" s="239">
        <f>ROUND(G59*I59,2)</f>
        <v>94.41</v>
      </c>
      <c r="K59" s="398"/>
      <c r="L59" s="238"/>
    </row>
    <row r="60" spans="2:12" s="19" customFormat="1" ht="30">
      <c r="B60" s="216" t="s">
        <v>935</v>
      </c>
      <c r="C60" s="455" t="s">
        <v>571</v>
      </c>
      <c r="D60" s="243" t="s">
        <v>41</v>
      </c>
      <c r="E60" s="456" t="s">
        <v>572</v>
      </c>
      <c r="F60" s="216" t="s">
        <v>0</v>
      </c>
      <c r="G60" s="239">
        <f>'Memorial de Cálculo'!L63</f>
        <v>27.445</v>
      </c>
      <c r="H60" s="359">
        <v>19.46</v>
      </c>
      <c r="I60" s="239">
        <f>ROUND(H60*($I$15/100+1),2)</f>
        <v>24.31</v>
      </c>
      <c r="J60" s="239">
        <f>ROUND(G60*I60,2)</f>
        <v>667.19</v>
      </c>
      <c r="K60" s="398"/>
      <c r="L60" s="238"/>
    </row>
    <row r="61" spans="2:12" s="19" customFormat="1" ht="45.75" thickBot="1">
      <c r="B61" s="216" t="s">
        <v>936</v>
      </c>
      <c r="C61" s="397" t="s">
        <v>882</v>
      </c>
      <c r="D61" s="469" t="s">
        <v>41</v>
      </c>
      <c r="E61" s="471" t="s">
        <v>880</v>
      </c>
      <c r="F61" s="216" t="s">
        <v>0</v>
      </c>
      <c r="G61" s="239">
        <f>'Memorial de Cálculo'!L66</f>
        <v>48.285000000000004</v>
      </c>
      <c r="H61" s="359">
        <v>58.93</v>
      </c>
      <c r="I61" s="239">
        <f>ROUND(H61*($I$15/100+1),2)</f>
        <v>73.62</v>
      </c>
      <c r="J61" s="239">
        <f>ROUND(G61*I61,2)</f>
        <v>3554.74</v>
      </c>
      <c r="K61" s="398"/>
      <c r="L61" s="238"/>
    </row>
    <row r="62" spans="2:12" s="19" customFormat="1" ht="16.5" thickBot="1">
      <c r="B62" s="561" t="s">
        <v>729</v>
      </c>
      <c r="C62" s="546" t="s">
        <v>607</v>
      </c>
      <c r="D62" s="547"/>
      <c r="E62" s="562"/>
      <c r="F62" s="548"/>
      <c r="G62" s="549"/>
      <c r="H62" s="549"/>
      <c r="I62" s="549"/>
      <c r="J62" s="550"/>
      <c r="K62" s="563">
        <f>SUM(J63:J67)</f>
        <v>26928.84</v>
      </c>
      <c r="L62" s="552">
        <f>K62/$K$269</f>
        <v>0.03968578995491851</v>
      </c>
    </row>
    <row r="63" spans="2:12" s="19" customFormat="1" ht="15">
      <c r="B63" s="458" t="s">
        <v>608</v>
      </c>
      <c r="C63" s="457" t="s">
        <v>883</v>
      </c>
      <c r="D63" s="609" t="s">
        <v>49</v>
      </c>
      <c r="E63" s="458" t="s">
        <v>839</v>
      </c>
      <c r="F63" s="276" t="s">
        <v>0</v>
      </c>
      <c r="G63" s="360">
        <f>'Memorial de Cálculo'!L73</f>
        <v>9.49</v>
      </c>
      <c r="H63" s="610">
        <v>438.31</v>
      </c>
      <c r="I63" s="360">
        <f>ROUND(H63*($I$15/100+1),2)</f>
        <v>547.58</v>
      </c>
      <c r="J63" s="360">
        <f>ROUND(G63*I63,2)</f>
        <v>5196.53</v>
      </c>
      <c r="K63" s="459"/>
      <c r="L63" s="691"/>
    </row>
    <row r="64" spans="2:12" s="19" customFormat="1" ht="15.75">
      <c r="B64" s="458" t="s">
        <v>609</v>
      </c>
      <c r="C64" s="357" t="s">
        <v>884</v>
      </c>
      <c r="D64" s="358" t="s">
        <v>49</v>
      </c>
      <c r="E64" s="356" t="s">
        <v>839</v>
      </c>
      <c r="F64" s="216" t="s">
        <v>0</v>
      </c>
      <c r="G64" s="239">
        <f>'Memorial de Cálculo'!L78</f>
        <v>5.26</v>
      </c>
      <c r="H64" s="359">
        <v>438.31</v>
      </c>
      <c r="I64" s="360">
        <f>ROUND(H64*($I$15/100+1),2)</f>
        <v>547.58</v>
      </c>
      <c r="J64" s="360">
        <f>ROUND(G64*I64,2)</f>
        <v>2880.27</v>
      </c>
      <c r="K64" s="247"/>
      <c r="L64" s="238"/>
    </row>
    <row r="65" spans="2:12" s="19" customFormat="1" ht="15.75">
      <c r="B65" s="458" t="s">
        <v>610</v>
      </c>
      <c r="C65" s="357" t="s">
        <v>887</v>
      </c>
      <c r="D65" s="216" t="s">
        <v>41</v>
      </c>
      <c r="E65" s="458">
        <v>85010</v>
      </c>
      <c r="F65" s="216" t="s">
        <v>0</v>
      </c>
      <c r="G65" s="239">
        <f>'Memorial de Cálculo'!L82</f>
        <v>4</v>
      </c>
      <c r="H65" s="239">
        <v>417.34</v>
      </c>
      <c r="I65" s="360">
        <f>ROUND(H65*($I$15/100+1),2)</f>
        <v>521.38</v>
      </c>
      <c r="J65" s="360">
        <f>ROUND(G65*I65,2)</f>
        <v>2085.52</v>
      </c>
      <c r="K65" s="247"/>
      <c r="L65" s="238"/>
    </row>
    <row r="66" spans="2:12" s="19" customFormat="1" ht="30">
      <c r="B66" s="458" t="s">
        <v>611</v>
      </c>
      <c r="C66" s="457" t="s">
        <v>885</v>
      </c>
      <c r="D66" s="216" t="s">
        <v>49</v>
      </c>
      <c r="E66" s="458" t="s">
        <v>849</v>
      </c>
      <c r="F66" s="216" t="s">
        <v>0</v>
      </c>
      <c r="G66" s="692">
        <f>'Memorial de Cálculo'!L87</f>
        <v>29.62</v>
      </c>
      <c r="H66" s="360">
        <v>409.97</v>
      </c>
      <c r="I66" s="360">
        <f>ROUND(H66*($I$15/100+1),2)</f>
        <v>512.18</v>
      </c>
      <c r="J66" s="360">
        <f>ROUND(G66*I66,2)</f>
        <v>15170.77</v>
      </c>
      <c r="K66" s="686"/>
      <c r="L66" s="373"/>
    </row>
    <row r="67" spans="2:12" s="19" customFormat="1" ht="16.5" thickBot="1">
      <c r="B67" s="458" t="s">
        <v>612</v>
      </c>
      <c r="C67" s="457" t="s">
        <v>886</v>
      </c>
      <c r="D67" s="276" t="s">
        <v>45</v>
      </c>
      <c r="E67" s="458" t="s">
        <v>850</v>
      </c>
      <c r="F67" s="216" t="s">
        <v>0</v>
      </c>
      <c r="G67" s="692">
        <f>'Memorial de Cálculo'!L91</f>
        <v>3.612</v>
      </c>
      <c r="H67" s="360">
        <v>353.63</v>
      </c>
      <c r="I67" s="360">
        <f>ROUND(H67*($I$15/100+1),2)</f>
        <v>441.79</v>
      </c>
      <c r="J67" s="360">
        <f>ROUND(G67*I67,2)</f>
        <v>1595.75</v>
      </c>
      <c r="K67" s="686"/>
      <c r="L67" s="373"/>
    </row>
    <row r="68" spans="2:12" s="19" customFormat="1" ht="16.5" thickBot="1">
      <c r="B68" s="561" t="s">
        <v>730</v>
      </c>
      <c r="C68" s="546" t="s">
        <v>888</v>
      </c>
      <c r="D68" s="547"/>
      <c r="E68" s="562"/>
      <c r="F68" s="548"/>
      <c r="G68" s="549"/>
      <c r="H68" s="549"/>
      <c r="I68" s="549"/>
      <c r="J68" s="550"/>
      <c r="K68" s="563">
        <f>SUM(J69:J75)</f>
        <v>22917.88</v>
      </c>
      <c r="L68" s="552">
        <f>K68/$K$269</f>
        <v>0.03377472523480506</v>
      </c>
    </row>
    <row r="69" spans="2:12" s="19" customFormat="1" ht="30">
      <c r="B69" s="276" t="s">
        <v>613</v>
      </c>
      <c r="C69" s="693" t="s">
        <v>889</v>
      </c>
      <c r="D69" s="396" t="s">
        <v>41</v>
      </c>
      <c r="E69" s="396" t="s">
        <v>425</v>
      </c>
      <c r="F69" s="276" t="s">
        <v>1</v>
      </c>
      <c r="G69" s="692" t="s">
        <v>279</v>
      </c>
      <c r="H69" s="689">
        <v>244.74</v>
      </c>
      <c r="I69" s="360">
        <f aca="true" t="shared" si="2" ref="I69:I75">ROUND(H69*($I$15/100+1),2)</f>
        <v>305.75</v>
      </c>
      <c r="J69" s="360">
        <f aca="true" t="shared" si="3" ref="J69:J75">ROUND(G69*I69,2)</f>
        <v>611.5</v>
      </c>
      <c r="K69" s="459"/>
      <c r="L69" s="373"/>
    </row>
    <row r="70" spans="2:12" s="19" customFormat="1" ht="30">
      <c r="B70" s="276" t="s">
        <v>614</v>
      </c>
      <c r="C70" s="460" t="s">
        <v>890</v>
      </c>
      <c r="D70" s="243" t="s">
        <v>41</v>
      </c>
      <c r="E70" s="243" t="s">
        <v>426</v>
      </c>
      <c r="F70" s="216" t="s">
        <v>1</v>
      </c>
      <c r="G70" s="461" t="s">
        <v>279</v>
      </c>
      <c r="H70" s="462">
        <v>249.42</v>
      </c>
      <c r="I70" s="360">
        <f t="shared" si="2"/>
        <v>311.6</v>
      </c>
      <c r="J70" s="360">
        <f t="shared" si="3"/>
        <v>623.2</v>
      </c>
      <c r="K70" s="237"/>
      <c r="L70" s="238"/>
    </row>
    <row r="71" spans="2:12" s="19" customFormat="1" ht="30">
      <c r="B71" s="276" t="s">
        <v>615</v>
      </c>
      <c r="C71" s="460" t="s">
        <v>891</v>
      </c>
      <c r="D71" s="243" t="s">
        <v>41</v>
      </c>
      <c r="E71" s="243" t="s">
        <v>427</v>
      </c>
      <c r="F71" s="216" t="s">
        <v>1</v>
      </c>
      <c r="G71" s="461" t="s">
        <v>337</v>
      </c>
      <c r="H71" s="462">
        <v>254.1</v>
      </c>
      <c r="I71" s="360">
        <f t="shared" si="2"/>
        <v>317.45</v>
      </c>
      <c r="J71" s="360">
        <f t="shared" si="3"/>
        <v>2222.15</v>
      </c>
      <c r="K71" s="237"/>
      <c r="L71" s="238"/>
    </row>
    <row r="72" spans="2:12" s="19" customFormat="1" ht="15.75">
      <c r="B72" s="276" t="s">
        <v>616</v>
      </c>
      <c r="C72" s="460" t="s">
        <v>524</v>
      </c>
      <c r="D72" s="243" t="s">
        <v>227</v>
      </c>
      <c r="E72" s="243">
        <v>230824</v>
      </c>
      <c r="F72" s="216" t="s">
        <v>0</v>
      </c>
      <c r="G72" s="461" t="s">
        <v>428</v>
      </c>
      <c r="H72" s="462">
        <v>579.6</v>
      </c>
      <c r="I72" s="360">
        <f t="shared" si="2"/>
        <v>724.09</v>
      </c>
      <c r="J72" s="360">
        <f t="shared" si="3"/>
        <v>11100.3</v>
      </c>
      <c r="K72" s="237"/>
      <c r="L72" s="463"/>
    </row>
    <row r="73" spans="2:12" s="19" customFormat="1" ht="15.75">
      <c r="B73" s="276" t="s">
        <v>617</v>
      </c>
      <c r="C73" s="464" t="s">
        <v>894</v>
      </c>
      <c r="D73" s="243" t="s">
        <v>45</v>
      </c>
      <c r="E73" s="243" t="s">
        <v>893</v>
      </c>
      <c r="F73" s="216" t="s">
        <v>1</v>
      </c>
      <c r="G73" s="461">
        <f>G69+G70+G71</f>
        <v>11</v>
      </c>
      <c r="H73" s="462">
        <v>78.45</v>
      </c>
      <c r="I73" s="360">
        <f t="shared" si="2"/>
        <v>98.01</v>
      </c>
      <c r="J73" s="360">
        <f t="shared" si="3"/>
        <v>1078.11</v>
      </c>
      <c r="K73" s="237"/>
      <c r="L73" s="463"/>
    </row>
    <row r="74" spans="2:12" s="19" customFormat="1" ht="30">
      <c r="B74" s="276" t="s">
        <v>937</v>
      </c>
      <c r="C74" s="464" t="s">
        <v>892</v>
      </c>
      <c r="D74" s="243" t="s">
        <v>227</v>
      </c>
      <c r="E74" s="243">
        <v>300102</v>
      </c>
      <c r="F74" s="216" t="s">
        <v>1</v>
      </c>
      <c r="G74" s="461" t="s">
        <v>402</v>
      </c>
      <c r="H74" s="462">
        <v>122.98</v>
      </c>
      <c r="I74" s="360">
        <f t="shared" si="2"/>
        <v>153.64</v>
      </c>
      <c r="J74" s="360">
        <f t="shared" si="3"/>
        <v>1536.4</v>
      </c>
      <c r="K74" s="237"/>
      <c r="L74" s="463"/>
    </row>
    <row r="75" spans="2:12" s="19" customFormat="1" ht="16.5" thickBot="1">
      <c r="B75" s="276" t="s">
        <v>938</v>
      </c>
      <c r="C75" s="464" t="s">
        <v>746</v>
      </c>
      <c r="D75" s="243" t="s">
        <v>129</v>
      </c>
      <c r="E75" s="243"/>
      <c r="F75" s="216" t="s">
        <v>0</v>
      </c>
      <c r="G75" s="461">
        <f>'Memorial de Cálculo'!L98</f>
        <v>26.36</v>
      </c>
      <c r="H75" s="462">
        <f>'Composições de Custo'!I273</f>
        <v>174.49000000000004</v>
      </c>
      <c r="I75" s="360">
        <f t="shared" si="2"/>
        <v>217.99</v>
      </c>
      <c r="J75" s="360">
        <f t="shared" si="3"/>
        <v>5746.22</v>
      </c>
      <c r="K75" s="237"/>
      <c r="L75" s="463"/>
    </row>
    <row r="76" spans="2:12" s="19" customFormat="1" ht="16.5" thickBot="1">
      <c r="B76" s="561" t="s">
        <v>731</v>
      </c>
      <c r="C76" s="546" t="s">
        <v>101</v>
      </c>
      <c r="D76" s="547"/>
      <c r="E76" s="562"/>
      <c r="F76" s="548"/>
      <c r="G76" s="549"/>
      <c r="H76" s="549"/>
      <c r="I76" s="549"/>
      <c r="J76" s="550"/>
      <c r="K76" s="563">
        <f>SUM(J77:J130)</f>
        <v>71714.92</v>
      </c>
      <c r="L76" s="552">
        <f>K76/$K$269</f>
        <v>0.10568829744444189</v>
      </c>
    </row>
    <row r="77" spans="2:12" s="19" customFormat="1" ht="15.75">
      <c r="B77" s="577" t="s">
        <v>274</v>
      </c>
      <c r="C77" s="579" t="s">
        <v>275</v>
      </c>
      <c r="D77" s="580"/>
      <c r="E77" s="581"/>
      <c r="F77" s="582"/>
      <c r="G77" s="583"/>
      <c r="H77" s="584"/>
      <c r="I77" s="569"/>
      <c r="J77" s="569"/>
      <c r="K77" s="585"/>
      <c r="L77" s="573"/>
    </row>
    <row r="78" spans="2:12" s="19" customFormat="1" ht="15.75">
      <c r="B78" s="366" t="s">
        <v>939</v>
      </c>
      <c r="C78" s="367" t="s">
        <v>315</v>
      </c>
      <c r="D78" s="368" t="s">
        <v>41</v>
      </c>
      <c r="E78" s="216" t="s">
        <v>506</v>
      </c>
      <c r="F78" s="369" t="s">
        <v>0</v>
      </c>
      <c r="G78" s="370">
        <f>2</f>
        <v>2</v>
      </c>
      <c r="H78" s="371">
        <v>153.98</v>
      </c>
      <c r="I78" s="360">
        <f>ROUND(H78*($I$15/100+1),2)</f>
        <v>192.37</v>
      </c>
      <c r="J78" s="360">
        <f>ROUND(G78*I78,2)</f>
        <v>384.74</v>
      </c>
      <c r="K78" s="372"/>
      <c r="L78" s="373"/>
    </row>
    <row r="79" spans="2:12" s="19" customFormat="1" ht="30">
      <c r="B79" s="366" t="s">
        <v>940</v>
      </c>
      <c r="C79" s="367" t="s">
        <v>867</v>
      </c>
      <c r="D79" s="368" t="s">
        <v>41</v>
      </c>
      <c r="E79" s="216" t="s">
        <v>506</v>
      </c>
      <c r="F79" s="369" t="s">
        <v>0</v>
      </c>
      <c r="G79" s="370">
        <v>6</v>
      </c>
      <c r="H79" s="371">
        <v>153.98</v>
      </c>
      <c r="I79" s="360">
        <f aca="true" t="shared" si="4" ref="I79:I85">ROUND(H79*($I$15/100+1),2)</f>
        <v>192.37</v>
      </c>
      <c r="J79" s="360">
        <f aca="true" t="shared" si="5" ref="J79:J85">ROUND(G79*I79,2)</f>
        <v>1154.22</v>
      </c>
      <c r="K79" s="372"/>
      <c r="L79" s="373"/>
    </row>
    <row r="80" spans="2:12" s="19" customFormat="1" ht="30">
      <c r="B80" s="366" t="s">
        <v>941</v>
      </c>
      <c r="C80" s="226" t="s">
        <v>316</v>
      </c>
      <c r="D80" s="227" t="s">
        <v>41</v>
      </c>
      <c r="E80" s="203">
        <v>89708</v>
      </c>
      <c r="F80" s="213" t="s">
        <v>1</v>
      </c>
      <c r="G80" s="205" t="s">
        <v>280</v>
      </c>
      <c r="H80" s="229">
        <v>38.42</v>
      </c>
      <c r="I80" s="360">
        <f t="shared" si="4"/>
        <v>48</v>
      </c>
      <c r="J80" s="360">
        <f t="shared" si="5"/>
        <v>672</v>
      </c>
      <c r="K80" s="230"/>
      <c r="L80" s="207"/>
    </row>
    <row r="81" spans="2:12" s="19" customFormat="1" ht="15.75">
      <c r="B81" s="366" t="s">
        <v>942</v>
      </c>
      <c r="C81" s="234" t="s">
        <v>317</v>
      </c>
      <c r="D81" s="227" t="s">
        <v>129</v>
      </c>
      <c r="E81" s="216"/>
      <c r="F81" s="220" t="s">
        <v>33</v>
      </c>
      <c r="G81" s="235" t="s">
        <v>282</v>
      </c>
      <c r="H81" s="443">
        <f>'Composições de Custo'!I106</f>
        <v>24.82</v>
      </c>
      <c r="I81" s="360">
        <f t="shared" si="4"/>
        <v>31.01</v>
      </c>
      <c r="J81" s="360">
        <f t="shared" si="5"/>
        <v>1674.54</v>
      </c>
      <c r="K81" s="444"/>
      <c r="L81" s="238"/>
    </row>
    <row r="82" spans="2:12" s="19" customFormat="1" ht="15.75">
      <c r="B82" s="366" t="s">
        <v>943</v>
      </c>
      <c r="C82" s="234" t="s">
        <v>318</v>
      </c>
      <c r="D82" s="227" t="s">
        <v>129</v>
      </c>
      <c r="E82" s="216"/>
      <c r="F82" s="220" t="s">
        <v>33</v>
      </c>
      <c r="G82" s="235" t="s">
        <v>283</v>
      </c>
      <c r="H82" s="236">
        <f>'Composições de Custo'!I124</f>
        <v>26.480000000000004</v>
      </c>
      <c r="I82" s="360">
        <f t="shared" si="4"/>
        <v>33.08</v>
      </c>
      <c r="J82" s="360">
        <f t="shared" si="5"/>
        <v>2150.2</v>
      </c>
      <c r="K82" s="444"/>
      <c r="L82" s="238"/>
    </row>
    <row r="83" spans="2:12" s="19" customFormat="1" ht="15.75">
      <c r="B83" s="366" t="s">
        <v>944</v>
      </c>
      <c r="C83" s="234" t="s">
        <v>319</v>
      </c>
      <c r="D83" s="227" t="s">
        <v>129</v>
      </c>
      <c r="E83" s="216"/>
      <c r="F83" s="220" t="s">
        <v>33</v>
      </c>
      <c r="G83" s="235" t="s">
        <v>240</v>
      </c>
      <c r="H83" s="236">
        <f>'Composições de Custo'!I142</f>
        <v>32.019999999999996</v>
      </c>
      <c r="I83" s="360">
        <f t="shared" si="4"/>
        <v>40</v>
      </c>
      <c r="J83" s="360">
        <f t="shared" si="5"/>
        <v>40</v>
      </c>
      <c r="K83" s="444"/>
      <c r="L83" s="238"/>
    </row>
    <row r="84" spans="2:12" s="19" customFormat="1" ht="15.75">
      <c r="B84" s="366" t="s">
        <v>945</v>
      </c>
      <c r="C84" s="367" t="s">
        <v>320</v>
      </c>
      <c r="D84" s="227" t="s">
        <v>129</v>
      </c>
      <c r="E84" s="216"/>
      <c r="F84" s="220" t="s">
        <v>33</v>
      </c>
      <c r="G84" s="370" t="s">
        <v>284</v>
      </c>
      <c r="H84" s="371">
        <f>'Composições de Custo'!I160</f>
        <v>41.69</v>
      </c>
      <c r="I84" s="360">
        <f t="shared" si="4"/>
        <v>52.08</v>
      </c>
      <c r="J84" s="360">
        <f t="shared" si="5"/>
        <v>4687.2</v>
      </c>
      <c r="K84" s="444"/>
      <c r="L84" s="238"/>
    </row>
    <row r="85" spans="2:12" s="19" customFormat="1" ht="30">
      <c r="B85" s="366" t="s">
        <v>946</v>
      </c>
      <c r="C85" s="231" t="s">
        <v>321</v>
      </c>
      <c r="D85" s="232" t="s">
        <v>41</v>
      </c>
      <c r="E85" s="203" t="s">
        <v>475</v>
      </c>
      <c r="F85" s="213" t="s">
        <v>1</v>
      </c>
      <c r="G85" s="233" t="s">
        <v>279</v>
      </c>
      <c r="H85" s="354">
        <v>1006.19</v>
      </c>
      <c r="I85" s="360">
        <f t="shared" si="4"/>
        <v>1257.03</v>
      </c>
      <c r="J85" s="360">
        <f t="shared" si="5"/>
        <v>2514.06</v>
      </c>
      <c r="K85" s="211"/>
      <c r="L85" s="207"/>
    </row>
    <row r="86" spans="2:12" s="19" customFormat="1" ht="15.75">
      <c r="B86" s="577" t="s">
        <v>276</v>
      </c>
      <c r="C86" s="579" t="s">
        <v>618</v>
      </c>
      <c r="D86" s="580"/>
      <c r="E86" s="581"/>
      <c r="F86" s="582"/>
      <c r="G86" s="583"/>
      <c r="H86" s="584"/>
      <c r="I86" s="569"/>
      <c r="J86" s="569"/>
      <c r="K86" s="585"/>
      <c r="L86" s="573"/>
    </row>
    <row r="87" spans="2:12" s="19" customFormat="1" ht="15.75">
      <c r="B87" s="225" t="s">
        <v>947</v>
      </c>
      <c r="C87" s="226" t="s">
        <v>322</v>
      </c>
      <c r="D87" s="212" t="s">
        <v>41</v>
      </c>
      <c r="E87" s="203" t="s">
        <v>277</v>
      </c>
      <c r="F87" s="213" t="s">
        <v>1</v>
      </c>
      <c r="G87" s="205" t="s">
        <v>240</v>
      </c>
      <c r="H87" s="229">
        <v>41.49</v>
      </c>
      <c r="I87" s="202">
        <f aca="true" t="shared" si="6" ref="I87:I108">ROUND(H87*($I$15/100+1),2)</f>
        <v>51.83</v>
      </c>
      <c r="J87" s="202">
        <f aca="true" t="shared" si="7" ref="J87:J108">ROUND(G87*I87,2)</f>
        <v>51.83</v>
      </c>
      <c r="K87" s="211"/>
      <c r="L87" s="207"/>
    </row>
    <row r="88" spans="2:12" s="19" customFormat="1" ht="30">
      <c r="B88" s="225" t="s">
        <v>948</v>
      </c>
      <c r="C88" s="226" t="s">
        <v>323</v>
      </c>
      <c r="D88" s="227" t="s">
        <v>41</v>
      </c>
      <c r="E88" s="203">
        <v>89985</v>
      </c>
      <c r="F88" s="213" t="s">
        <v>1</v>
      </c>
      <c r="G88" s="205" t="s">
        <v>239</v>
      </c>
      <c r="H88" s="229">
        <v>48.12</v>
      </c>
      <c r="I88" s="202">
        <f t="shared" si="6"/>
        <v>60.12</v>
      </c>
      <c r="J88" s="202">
        <f t="shared" si="7"/>
        <v>480.96</v>
      </c>
      <c r="K88" s="211"/>
      <c r="L88" s="207"/>
    </row>
    <row r="89" spans="2:12" s="19" customFormat="1" ht="15.75">
      <c r="B89" s="225" t="s">
        <v>949</v>
      </c>
      <c r="C89" s="234" t="s">
        <v>324</v>
      </c>
      <c r="D89" s="227" t="s">
        <v>41</v>
      </c>
      <c r="E89" s="203">
        <v>89353</v>
      </c>
      <c r="F89" s="213" t="s">
        <v>1</v>
      </c>
      <c r="G89" s="205" t="s">
        <v>240</v>
      </c>
      <c r="H89" s="291">
        <v>22.91</v>
      </c>
      <c r="I89" s="202">
        <f t="shared" si="6"/>
        <v>28.62</v>
      </c>
      <c r="J89" s="202">
        <f t="shared" si="7"/>
        <v>28.62</v>
      </c>
      <c r="K89" s="211"/>
      <c r="L89" s="207"/>
    </row>
    <row r="90" spans="2:12" s="19" customFormat="1" ht="15.75">
      <c r="B90" s="225" t="s">
        <v>950</v>
      </c>
      <c r="C90" s="234" t="s">
        <v>325</v>
      </c>
      <c r="D90" s="227" t="s">
        <v>41</v>
      </c>
      <c r="E90" s="203" t="s">
        <v>278</v>
      </c>
      <c r="F90" s="213" t="s">
        <v>1</v>
      </c>
      <c r="G90" s="235" t="s">
        <v>285</v>
      </c>
      <c r="H90" s="236">
        <v>59.19</v>
      </c>
      <c r="I90" s="202">
        <f t="shared" si="6"/>
        <v>73.95</v>
      </c>
      <c r="J90" s="202">
        <f t="shared" si="7"/>
        <v>1257.15</v>
      </c>
      <c r="K90" s="237"/>
      <c r="L90" s="238"/>
    </row>
    <row r="91" spans="2:12" s="19" customFormat="1" ht="15.75">
      <c r="B91" s="225" t="s">
        <v>951</v>
      </c>
      <c r="C91" s="234" t="s">
        <v>326</v>
      </c>
      <c r="D91" s="227" t="s">
        <v>45</v>
      </c>
      <c r="E91" s="216" t="s">
        <v>696</v>
      </c>
      <c r="F91" s="220" t="s">
        <v>33</v>
      </c>
      <c r="G91" s="235">
        <v>150</v>
      </c>
      <c r="H91" s="236">
        <v>12.86</v>
      </c>
      <c r="I91" s="360">
        <f t="shared" si="6"/>
        <v>16.07</v>
      </c>
      <c r="J91" s="360">
        <f t="shared" si="7"/>
        <v>2410.5</v>
      </c>
      <c r="K91" s="237"/>
      <c r="L91" s="238"/>
    </row>
    <row r="92" spans="2:12" s="19" customFormat="1" ht="15.75">
      <c r="B92" s="225" t="s">
        <v>952</v>
      </c>
      <c r="C92" s="234" t="s">
        <v>327</v>
      </c>
      <c r="D92" s="227" t="s">
        <v>45</v>
      </c>
      <c r="E92" s="216" t="s">
        <v>697</v>
      </c>
      <c r="F92" s="220" t="s">
        <v>33</v>
      </c>
      <c r="G92" s="235" t="s">
        <v>287</v>
      </c>
      <c r="H92" s="443">
        <v>18.62</v>
      </c>
      <c r="I92" s="360">
        <f t="shared" si="6"/>
        <v>23.26</v>
      </c>
      <c r="J92" s="360">
        <f t="shared" si="7"/>
        <v>139.56</v>
      </c>
      <c r="K92" s="237"/>
      <c r="L92" s="238"/>
    </row>
    <row r="93" spans="2:12" s="19" customFormat="1" ht="15.75">
      <c r="B93" s="225" t="s">
        <v>953</v>
      </c>
      <c r="C93" s="234" t="s">
        <v>328</v>
      </c>
      <c r="D93" s="227" t="s">
        <v>45</v>
      </c>
      <c r="E93" s="216" t="s">
        <v>698</v>
      </c>
      <c r="F93" s="220" t="s">
        <v>33</v>
      </c>
      <c r="G93" s="235" t="s">
        <v>288</v>
      </c>
      <c r="H93" s="236">
        <v>22.98</v>
      </c>
      <c r="I93" s="360">
        <f t="shared" si="6"/>
        <v>28.71</v>
      </c>
      <c r="J93" s="360">
        <f t="shared" si="7"/>
        <v>689.04</v>
      </c>
      <c r="K93" s="237"/>
      <c r="L93" s="238"/>
    </row>
    <row r="94" spans="2:12" s="19" customFormat="1" ht="15.75">
      <c r="B94" s="225" t="s">
        <v>954</v>
      </c>
      <c r="C94" s="234" t="s">
        <v>476</v>
      </c>
      <c r="D94" s="227" t="s">
        <v>41</v>
      </c>
      <c r="E94" s="227">
        <v>88503</v>
      </c>
      <c r="F94" s="220" t="s">
        <v>1</v>
      </c>
      <c r="G94" s="205" t="s">
        <v>279</v>
      </c>
      <c r="H94" s="229">
        <v>591.56</v>
      </c>
      <c r="I94" s="202">
        <f t="shared" si="6"/>
        <v>739.04</v>
      </c>
      <c r="J94" s="202">
        <f t="shared" si="7"/>
        <v>1478.08</v>
      </c>
      <c r="K94" s="211"/>
      <c r="L94" s="207"/>
    </row>
    <row r="95" spans="2:12" s="19" customFormat="1" ht="15.75">
      <c r="B95" s="577" t="s">
        <v>297</v>
      </c>
      <c r="C95" s="579" t="s">
        <v>296</v>
      </c>
      <c r="D95" s="580"/>
      <c r="E95" s="581"/>
      <c r="F95" s="582"/>
      <c r="G95" s="583"/>
      <c r="H95" s="584"/>
      <c r="I95" s="569"/>
      <c r="J95" s="569"/>
      <c r="K95" s="585"/>
      <c r="L95" s="573"/>
    </row>
    <row r="96" spans="2:12" s="19" customFormat="1" ht="15.75">
      <c r="B96" s="442" t="s">
        <v>955</v>
      </c>
      <c r="C96" s="234" t="s">
        <v>326</v>
      </c>
      <c r="D96" s="227" t="s">
        <v>45</v>
      </c>
      <c r="E96" s="216" t="s">
        <v>696</v>
      </c>
      <c r="F96" s="220" t="s">
        <v>33</v>
      </c>
      <c r="G96" s="235" t="s">
        <v>289</v>
      </c>
      <c r="H96" s="236">
        <v>12.86</v>
      </c>
      <c r="I96" s="360">
        <f t="shared" si="6"/>
        <v>16.07</v>
      </c>
      <c r="J96" s="360">
        <f t="shared" si="7"/>
        <v>771.36</v>
      </c>
      <c r="K96" s="237"/>
      <c r="L96" s="238"/>
    </row>
    <row r="97" spans="2:12" s="19" customFormat="1" ht="15.75">
      <c r="B97" s="442" t="s">
        <v>956</v>
      </c>
      <c r="C97" s="234" t="s">
        <v>329</v>
      </c>
      <c r="D97" s="227" t="s">
        <v>129</v>
      </c>
      <c r="E97" s="216"/>
      <c r="F97" s="220" t="s">
        <v>33</v>
      </c>
      <c r="G97" s="235">
        <v>12</v>
      </c>
      <c r="H97" s="236">
        <f>'Composições de Custo'!I124</f>
        <v>26.480000000000004</v>
      </c>
      <c r="I97" s="360">
        <f t="shared" si="6"/>
        <v>33.08</v>
      </c>
      <c r="J97" s="360">
        <f t="shared" si="7"/>
        <v>396.96</v>
      </c>
      <c r="K97" s="237"/>
      <c r="L97" s="238"/>
    </row>
    <row r="98" spans="2:12" s="19" customFormat="1" ht="15.75">
      <c r="B98" s="442" t="s">
        <v>957</v>
      </c>
      <c r="C98" s="234" t="s">
        <v>330</v>
      </c>
      <c r="D98" s="227" t="s">
        <v>129</v>
      </c>
      <c r="E98" s="216"/>
      <c r="F98" s="220" t="s">
        <v>33</v>
      </c>
      <c r="G98" s="235" t="s">
        <v>291</v>
      </c>
      <c r="H98" s="443">
        <f>'Composições de Custo'!I142</f>
        <v>32.019999999999996</v>
      </c>
      <c r="I98" s="360">
        <f t="shared" si="6"/>
        <v>40</v>
      </c>
      <c r="J98" s="360">
        <f t="shared" si="7"/>
        <v>1680</v>
      </c>
      <c r="K98" s="237"/>
      <c r="L98" s="238"/>
    </row>
    <row r="99" spans="2:12" s="19" customFormat="1" ht="15.75">
      <c r="B99" s="442" t="s">
        <v>958</v>
      </c>
      <c r="C99" s="234" t="s">
        <v>331</v>
      </c>
      <c r="D99" s="227" t="s">
        <v>129</v>
      </c>
      <c r="E99" s="216"/>
      <c r="F99" s="220" t="s">
        <v>33</v>
      </c>
      <c r="G99" s="235" t="s">
        <v>292</v>
      </c>
      <c r="H99" s="236">
        <f>'Composições de Custo'!I160</f>
        <v>41.69</v>
      </c>
      <c r="I99" s="360">
        <f t="shared" si="6"/>
        <v>52.08</v>
      </c>
      <c r="J99" s="360">
        <f t="shared" si="7"/>
        <v>6562.08</v>
      </c>
      <c r="K99" s="237"/>
      <c r="L99" s="238"/>
    </row>
    <row r="100" spans="2:12" s="19" customFormat="1" ht="15.75">
      <c r="B100" s="442" t="s">
        <v>959</v>
      </c>
      <c r="C100" s="234" t="s">
        <v>332</v>
      </c>
      <c r="D100" s="227" t="s">
        <v>129</v>
      </c>
      <c r="E100" s="216"/>
      <c r="F100" s="220" t="s">
        <v>33</v>
      </c>
      <c r="G100" s="235" t="s">
        <v>293</v>
      </c>
      <c r="H100" s="236">
        <f>'Composições de Custo'!I178</f>
        <v>59.230000000000004</v>
      </c>
      <c r="I100" s="360">
        <f t="shared" si="6"/>
        <v>74</v>
      </c>
      <c r="J100" s="360">
        <f t="shared" si="7"/>
        <v>1332</v>
      </c>
      <c r="K100" s="237"/>
      <c r="L100" s="238"/>
    </row>
    <row r="101" spans="2:12" s="19" customFormat="1" ht="15.75">
      <c r="B101" s="442" t="s">
        <v>960</v>
      </c>
      <c r="C101" s="234" t="s">
        <v>333</v>
      </c>
      <c r="D101" s="227" t="s">
        <v>129</v>
      </c>
      <c r="E101" s="216"/>
      <c r="F101" s="220" t="s">
        <v>33</v>
      </c>
      <c r="G101" s="235" t="s">
        <v>294</v>
      </c>
      <c r="H101" s="443">
        <f>'Composições de Custo'!I199</f>
        <v>85.71</v>
      </c>
      <c r="I101" s="360">
        <f>ROUND(H101*($I$15/100+1),2)</f>
        <v>107.08</v>
      </c>
      <c r="J101" s="360">
        <f>ROUND(G101*I101,2)</f>
        <v>2623.46</v>
      </c>
      <c r="K101" s="237"/>
      <c r="L101" s="238"/>
    </row>
    <row r="102" spans="2:12" s="19" customFormat="1" ht="15.75">
      <c r="B102" s="442" t="s">
        <v>961</v>
      </c>
      <c r="C102" s="234" t="s">
        <v>334</v>
      </c>
      <c r="D102" s="227" t="s">
        <v>129</v>
      </c>
      <c r="E102" s="216"/>
      <c r="F102" s="220" t="s">
        <v>0</v>
      </c>
      <c r="G102" s="235" t="s">
        <v>295</v>
      </c>
      <c r="H102" s="236">
        <f>'Composições de Custo'!I218</f>
        <v>196.41000000000003</v>
      </c>
      <c r="I102" s="360">
        <f t="shared" si="6"/>
        <v>245.38</v>
      </c>
      <c r="J102" s="360">
        <f t="shared" si="7"/>
        <v>530.02</v>
      </c>
      <c r="K102" s="237"/>
      <c r="L102" s="238"/>
    </row>
    <row r="103" spans="2:12" s="19" customFormat="1" ht="15.75">
      <c r="B103" s="577" t="s">
        <v>299</v>
      </c>
      <c r="C103" s="579" t="s">
        <v>298</v>
      </c>
      <c r="D103" s="580"/>
      <c r="E103" s="581"/>
      <c r="F103" s="582"/>
      <c r="G103" s="583"/>
      <c r="H103" s="584"/>
      <c r="I103" s="569"/>
      <c r="J103" s="569"/>
      <c r="K103" s="585"/>
      <c r="L103" s="573"/>
    </row>
    <row r="104" spans="2:12" s="19" customFormat="1" ht="15.75">
      <c r="B104" s="225" t="s">
        <v>962</v>
      </c>
      <c r="C104" s="226" t="s">
        <v>335</v>
      </c>
      <c r="D104" s="227" t="s">
        <v>41</v>
      </c>
      <c r="E104" s="203">
        <v>86931</v>
      </c>
      <c r="F104" s="213" t="s">
        <v>1</v>
      </c>
      <c r="G104" s="205" t="s">
        <v>239</v>
      </c>
      <c r="H104" s="229">
        <v>281.56</v>
      </c>
      <c r="I104" s="202">
        <f t="shared" si="6"/>
        <v>351.75</v>
      </c>
      <c r="J104" s="202">
        <f t="shared" si="7"/>
        <v>2814</v>
      </c>
      <c r="K104" s="211"/>
      <c r="L104" s="207"/>
    </row>
    <row r="105" spans="2:12" s="19" customFormat="1" ht="15.75">
      <c r="B105" s="225" t="s">
        <v>963</v>
      </c>
      <c r="C105" s="234" t="s">
        <v>895</v>
      </c>
      <c r="D105" s="227" t="s">
        <v>45</v>
      </c>
      <c r="E105" s="227" t="s">
        <v>575</v>
      </c>
      <c r="F105" s="220" t="s">
        <v>1</v>
      </c>
      <c r="G105" s="235" t="s">
        <v>287</v>
      </c>
      <c r="H105" s="236">
        <v>1607.29</v>
      </c>
      <c r="I105" s="360">
        <f t="shared" si="6"/>
        <v>2007.99</v>
      </c>
      <c r="J105" s="360">
        <f t="shared" si="7"/>
        <v>12047.94</v>
      </c>
      <c r="K105" s="237"/>
      <c r="L105" s="238"/>
    </row>
    <row r="106" spans="2:12" s="19" customFormat="1" ht="45">
      <c r="B106" s="225" t="s">
        <v>964</v>
      </c>
      <c r="C106" s="234" t="s">
        <v>336</v>
      </c>
      <c r="D106" s="227" t="s">
        <v>41</v>
      </c>
      <c r="E106" s="227">
        <v>86942</v>
      </c>
      <c r="F106" s="220" t="s">
        <v>1</v>
      </c>
      <c r="G106" s="235">
        <v>10</v>
      </c>
      <c r="H106" s="236">
        <v>119.59</v>
      </c>
      <c r="I106" s="360">
        <f t="shared" si="6"/>
        <v>149.4</v>
      </c>
      <c r="J106" s="360">
        <f t="shared" si="7"/>
        <v>1494</v>
      </c>
      <c r="K106" s="237"/>
      <c r="L106" s="238"/>
    </row>
    <row r="107" spans="2:12" s="19" customFormat="1" ht="15.75">
      <c r="B107" s="225" t="s">
        <v>965</v>
      </c>
      <c r="C107" s="234" t="s">
        <v>897</v>
      </c>
      <c r="D107" s="227" t="s">
        <v>45</v>
      </c>
      <c r="E107" s="227" t="s">
        <v>896</v>
      </c>
      <c r="F107" s="220" t="s">
        <v>1</v>
      </c>
      <c r="G107" s="235">
        <v>5</v>
      </c>
      <c r="H107" s="236">
        <v>223.83</v>
      </c>
      <c r="I107" s="360">
        <f t="shared" si="6"/>
        <v>279.63</v>
      </c>
      <c r="J107" s="360">
        <f t="shared" si="7"/>
        <v>1398.15</v>
      </c>
      <c r="K107" s="237"/>
      <c r="L107" s="238"/>
    </row>
    <row r="108" spans="2:12" s="19" customFormat="1" ht="30">
      <c r="B108" s="225" t="s">
        <v>966</v>
      </c>
      <c r="C108" s="226" t="s">
        <v>313</v>
      </c>
      <c r="D108" s="212" t="s">
        <v>41</v>
      </c>
      <c r="E108" s="212">
        <v>9535</v>
      </c>
      <c r="F108" s="213" t="s">
        <v>1</v>
      </c>
      <c r="G108" s="205" t="s">
        <v>337</v>
      </c>
      <c r="H108" s="229">
        <v>52.09</v>
      </c>
      <c r="I108" s="202">
        <f t="shared" si="6"/>
        <v>65.08</v>
      </c>
      <c r="J108" s="202">
        <f t="shared" si="7"/>
        <v>455.56</v>
      </c>
      <c r="K108" s="211"/>
      <c r="L108" s="207"/>
    </row>
    <row r="109" spans="2:12" s="19" customFormat="1" ht="30">
      <c r="B109" s="225" t="s">
        <v>967</v>
      </c>
      <c r="C109" s="234" t="s">
        <v>507</v>
      </c>
      <c r="D109" s="227" t="s">
        <v>227</v>
      </c>
      <c r="E109" s="227">
        <v>300803</v>
      </c>
      <c r="F109" s="220" t="s">
        <v>1</v>
      </c>
      <c r="G109" s="235" t="s">
        <v>338</v>
      </c>
      <c r="H109" s="236">
        <v>706.97</v>
      </c>
      <c r="I109" s="360">
        <f aca="true" t="shared" si="8" ref="I109:I128">ROUND(H109*($I$15/100+1),2)</f>
        <v>883.22</v>
      </c>
      <c r="J109" s="360">
        <f aca="true" t="shared" si="9" ref="J109:J128">ROUND(G109*I109,2)</f>
        <v>4416.1</v>
      </c>
      <c r="K109" s="237"/>
      <c r="L109" s="238"/>
    </row>
    <row r="110" spans="2:12" s="19" customFormat="1" ht="30">
      <c r="B110" s="225" t="s">
        <v>968</v>
      </c>
      <c r="C110" s="234" t="s">
        <v>312</v>
      </c>
      <c r="D110" s="227" t="s">
        <v>227</v>
      </c>
      <c r="E110" s="227">
        <v>300103</v>
      </c>
      <c r="F110" s="220" t="s">
        <v>1</v>
      </c>
      <c r="G110" s="235" t="s">
        <v>339</v>
      </c>
      <c r="H110" s="236">
        <v>135.52</v>
      </c>
      <c r="I110" s="360">
        <f t="shared" si="8"/>
        <v>169.31</v>
      </c>
      <c r="J110" s="360">
        <f t="shared" si="9"/>
        <v>2539.65</v>
      </c>
      <c r="K110" s="237"/>
      <c r="L110" s="238"/>
    </row>
    <row r="111" spans="2:12" s="19" customFormat="1" ht="30">
      <c r="B111" s="225" t="s">
        <v>969</v>
      </c>
      <c r="C111" s="234" t="s">
        <v>311</v>
      </c>
      <c r="D111" s="227" t="s">
        <v>227</v>
      </c>
      <c r="E111" s="227">
        <v>300104</v>
      </c>
      <c r="F111" s="220" t="s">
        <v>1</v>
      </c>
      <c r="G111" s="235" t="s">
        <v>340</v>
      </c>
      <c r="H111" s="236">
        <v>144.9</v>
      </c>
      <c r="I111" s="360">
        <f t="shared" si="8"/>
        <v>181.02</v>
      </c>
      <c r="J111" s="360">
        <f t="shared" si="9"/>
        <v>724.08</v>
      </c>
      <c r="K111" s="237"/>
      <c r="L111" s="238"/>
    </row>
    <row r="112" spans="2:12" s="19" customFormat="1" ht="45">
      <c r="B112" s="225" t="s">
        <v>970</v>
      </c>
      <c r="C112" s="226" t="s">
        <v>310</v>
      </c>
      <c r="D112" s="212" t="s">
        <v>41</v>
      </c>
      <c r="E112" s="212">
        <v>86936</v>
      </c>
      <c r="F112" s="213" t="s">
        <v>1</v>
      </c>
      <c r="G112" s="205" t="s">
        <v>240</v>
      </c>
      <c r="H112" s="229">
        <v>267.17</v>
      </c>
      <c r="I112" s="202">
        <f t="shared" si="8"/>
        <v>333.78</v>
      </c>
      <c r="J112" s="202">
        <f t="shared" si="9"/>
        <v>333.78</v>
      </c>
      <c r="K112" s="211"/>
      <c r="L112" s="207"/>
    </row>
    <row r="113" spans="2:12" s="19" customFormat="1" ht="30">
      <c r="B113" s="225" t="s">
        <v>971</v>
      </c>
      <c r="C113" s="226" t="s">
        <v>309</v>
      </c>
      <c r="D113" s="212" t="s">
        <v>41</v>
      </c>
      <c r="E113" s="212">
        <v>86909</v>
      </c>
      <c r="F113" s="213" t="s">
        <v>1</v>
      </c>
      <c r="G113" s="205" t="s">
        <v>240</v>
      </c>
      <c r="H113" s="229">
        <v>63.52</v>
      </c>
      <c r="I113" s="202">
        <f t="shared" si="8"/>
        <v>79.36</v>
      </c>
      <c r="J113" s="202">
        <f t="shared" si="9"/>
        <v>79.36</v>
      </c>
      <c r="K113" s="211"/>
      <c r="L113" s="207"/>
    </row>
    <row r="114" spans="2:12" s="19" customFormat="1" ht="30">
      <c r="B114" s="225" t="s">
        <v>972</v>
      </c>
      <c r="C114" s="234" t="s">
        <v>308</v>
      </c>
      <c r="D114" s="227" t="s">
        <v>45</v>
      </c>
      <c r="E114" s="227" t="s">
        <v>576</v>
      </c>
      <c r="F114" s="220" t="s">
        <v>0</v>
      </c>
      <c r="G114" s="235">
        <f>0.6*12.3</f>
        <v>7.38</v>
      </c>
      <c r="H114" s="236">
        <v>279.46</v>
      </c>
      <c r="I114" s="360">
        <f t="shared" si="8"/>
        <v>349.13</v>
      </c>
      <c r="J114" s="360">
        <f t="shared" si="9"/>
        <v>2576.58</v>
      </c>
      <c r="K114" s="237"/>
      <c r="L114" s="238"/>
    </row>
    <row r="115" spans="2:12" s="19" customFormat="1" ht="30">
      <c r="B115" s="225" t="s">
        <v>973</v>
      </c>
      <c r="C115" s="234" t="s">
        <v>899</v>
      </c>
      <c r="D115" s="227" t="s">
        <v>45</v>
      </c>
      <c r="E115" s="227" t="s">
        <v>898</v>
      </c>
      <c r="F115" s="220" t="s">
        <v>1</v>
      </c>
      <c r="G115" s="235">
        <v>1</v>
      </c>
      <c r="H115" s="236">
        <v>587.43</v>
      </c>
      <c r="I115" s="360">
        <f t="shared" si="8"/>
        <v>733.88</v>
      </c>
      <c r="J115" s="360">
        <f t="shared" si="9"/>
        <v>733.88</v>
      </c>
      <c r="K115" s="237"/>
      <c r="L115" s="238"/>
    </row>
    <row r="116" spans="2:12" s="19" customFormat="1" ht="30">
      <c r="B116" s="225" t="s">
        <v>974</v>
      </c>
      <c r="C116" s="234" t="s">
        <v>307</v>
      </c>
      <c r="D116" s="227" t="s">
        <v>45</v>
      </c>
      <c r="E116" s="227" t="s">
        <v>577</v>
      </c>
      <c r="F116" s="220" t="s">
        <v>1</v>
      </c>
      <c r="G116" s="235">
        <v>8</v>
      </c>
      <c r="H116" s="236">
        <v>23.92</v>
      </c>
      <c r="I116" s="360">
        <f t="shared" si="8"/>
        <v>29.88</v>
      </c>
      <c r="J116" s="360">
        <f t="shared" si="9"/>
        <v>239.04</v>
      </c>
      <c r="K116" s="237"/>
      <c r="L116" s="238"/>
    </row>
    <row r="117" spans="2:12" s="19" customFormat="1" ht="15.75">
      <c r="B117" s="225" t="s">
        <v>975</v>
      </c>
      <c r="C117" s="234" t="s">
        <v>306</v>
      </c>
      <c r="D117" s="227" t="s">
        <v>227</v>
      </c>
      <c r="E117" s="227">
        <v>440318</v>
      </c>
      <c r="F117" s="220" t="s">
        <v>1</v>
      </c>
      <c r="G117" s="235" t="s">
        <v>280</v>
      </c>
      <c r="H117" s="236">
        <v>33.44</v>
      </c>
      <c r="I117" s="360">
        <f t="shared" si="8"/>
        <v>41.78</v>
      </c>
      <c r="J117" s="360">
        <f t="shared" si="9"/>
        <v>584.92</v>
      </c>
      <c r="K117" s="237"/>
      <c r="L117" s="238"/>
    </row>
    <row r="118" spans="2:12" s="19" customFormat="1" ht="15.75">
      <c r="B118" s="225" t="s">
        <v>976</v>
      </c>
      <c r="C118" s="234" t="s">
        <v>305</v>
      </c>
      <c r="D118" s="227" t="s">
        <v>227</v>
      </c>
      <c r="E118" s="227">
        <v>440313</v>
      </c>
      <c r="F118" s="220" t="s">
        <v>1</v>
      </c>
      <c r="G118" s="235" t="s">
        <v>280</v>
      </c>
      <c r="H118" s="236">
        <v>24.57</v>
      </c>
      <c r="I118" s="360">
        <f t="shared" si="8"/>
        <v>30.7</v>
      </c>
      <c r="J118" s="360">
        <f t="shared" si="9"/>
        <v>429.8</v>
      </c>
      <c r="K118" s="237"/>
      <c r="L118" s="238"/>
    </row>
    <row r="119" spans="2:12" s="19" customFormat="1" ht="15.75">
      <c r="B119" s="225" t="s">
        <v>977</v>
      </c>
      <c r="C119" s="234" t="s">
        <v>304</v>
      </c>
      <c r="D119" s="227" t="s">
        <v>227</v>
      </c>
      <c r="E119" s="227">
        <v>440305</v>
      </c>
      <c r="F119" s="220" t="s">
        <v>1</v>
      </c>
      <c r="G119" s="235" t="s">
        <v>239</v>
      </c>
      <c r="H119" s="236">
        <v>37.06</v>
      </c>
      <c r="I119" s="360">
        <f t="shared" si="8"/>
        <v>46.3</v>
      </c>
      <c r="J119" s="360">
        <f t="shared" si="9"/>
        <v>370.4</v>
      </c>
      <c r="K119" s="237"/>
      <c r="L119" s="238"/>
    </row>
    <row r="120" spans="2:12" s="19" customFormat="1" ht="15.75">
      <c r="B120" s="577" t="s">
        <v>978</v>
      </c>
      <c r="C120" s="579" t="s">
        <v>678</v>
      </c>
      <c r="D120" s="580"/>
      <c r="E120" s="581"/>
      <c r="F120" s="582"/>
      <c r="G120" s="583"/>
      <c r="H120" s="584"/>
      <c r="I120" s="569"/>
      <c r="J120" s="569"/>
      <c r="K120" s="585"/>
      <c r="L120" s="573"/>
    </row>
    <row r="121" spans="2:12" s="19" customFormat="1" ht="15.75">
      <c r="B121" s="442" t="s">
        <v>979</v>
      </c>
      <c r="C121" s="367" t="s">
        <v>314</v>
      </c>
      <c r="D121" s="368" t="s">
        <v>227</v>
      </c>
      <c r="E121" s="368"/>
      <c r="F121" s="369" t="s">
        <v>1</v>
      </c>
      <c r="G121" s="370" t="s">
        <v>240</v>
      </c>
      <c r="H121" s="371">
        <f>'Composições de Custo'!I238</f>
        <v>1170.43</v>
      </c>
      <c r="I121" s="360">
        <f aca="true" t="shared" si="10" ref="I121:I126">ROUND(H121*($I$15/100+1),2)</f>
        <v>1462.22</v>
      </c>
      <c r="J121" s="360">
        <f aca="true" t="shared" si="11" ref="J121:J126">ROUND(G121*I121,2)</f>
        <v>1462.22</v>
      </c>
      <c r="K121" s="459"/>
      <c r="L121" s="238"/>
    </row>
    <row r="122" spans="2:12" s="19" customFormat="1" ht="30">
      <c r="B122" s="442" t="s">
        <v>980</v>
      </c>
      <c r="C122" s="357" t="s">
        <v>878</v>
      </c>
      <c r="D122" s="358" t="s">
        <v>45</v>
      </c>
      <c r="E122" s="356" t="s">
        <v>477</v>
      </c>
      <c r="F122" s="216" t="s">
        <v>0</v>
      </c>
      <c r="G122" s="235">
        <f>'Memorial de Cálculo'!L103</f>
        <v>3.9839999999999995</v>
      </c>
      <c r="H122" s="236">
        <v>35.34</v>
      </c>
      <c r="I122" s="360">
        <f t="shared" si="10"/>
        <v>44.15</v>
      </c>
      <c r="J122" s="360">
        <f t="shared" si="11"/>
        <v>175.89</v>
      </c>
      <c r="K122" s="237"/>
      <c r="L122" s="238"/>
    </row>
    <row r="123" spans="2:12" s="19" customFormat="1" ht="30">
      <c r="B123" s="442" t="s">
        <v>981</v>
      </c>
      <c r="C123" s="357" t="s">
        <v>407</v>
      </c>
      <c r="D123" s="243" t="s">
        <v>41</v>
      </c>
      <c r="E123" s="216">
        <v>87878</v>
      </c>
      <c r="F123" s="276" t="s">
        <v>0</v>
      </c>
      <c r="G123" s="235">
        <f>'Memorial de Cálculo'!L106</f>
        <v>3.9839999999999995</v>
      </c>
      <c r="H123" s="236">
        <v>2.75</v>
      </c>
      <c r="I123" s="360">
        <f t="shared" si="10"/>
        <v>3.44</v>
      </c>
      <c r="J123" s="360">
        <f t="shared" si="11"/>
        <v>13.7</v>
      </c>
      <c r="K123" s="237"/>
      <c r="L123" s="238"/>
    </row>
    <row r="124" spans="2:12" s="19" customFormat="1" ht="30">
      <c r="B124" s="442" t="s">
        <v>982</v>
      </c>
      <c r="C124" s="395" t="s">
        <v>900</v>
      </c>
      <c r="D124" s="396" t="s">
        <v>41</v>
      </c>
      <c r="E124" s="216">
        <v>87535</v>
      </c>
      <c r="F124" s="276" t="s">
        <v>0</v>
      </c>
      <c r="G124" s="235">
        <f>'Memorial de Cálculo'!L109</f>
        <v>4.974</v>
      </c>
      <c r="H124" s="236">
        <v>16.25</v>
      </c>
      <c r="I124" s="360">
        <f t="shared" si="10"/>
        <v>20.3</v>
      </c>
      <c r="J124" s="360">
        <f t="shared" si="11"/>
        <v>100.97</v>
      </c>
      <c r="K124" s="237"/>
      <c r="L124" s="238"/>
    </row>
    <row r="125" spans="2:12" s="19" customFormat="1" ht="30">
      <c r="B125" s="442" t="s">
        <v>983</v>
      </c>
      <c r="C125" s="357" t="s">
        <v>573</v>
      </c>
      <c r="D125" s="243" t="s">
        <v>129</v>
      </c>
      <c r="E125" s="216"/>
      <c r="F125" s="276" t="s">
        <v>0</v>
      </c>
      <c r="G125" s="235">
        <f>'Memorial de Cálculo'!L112</f>
        <v>4.974</v>
      </c>
      <c r="H125" s="236">
        <f>'Composições de Custo'!I291</f>
        <v>56.06</v>
      </c>
      <c r="I125" s="360">
        <f t="shared" si="10"/>
        <v>70.04</v>
      </c>
      <c r="J125" s="360">
        <f t="shared" si="11"/>
        <v>348.38</v>
      </c>
      <c r="K125" s="237"/>
      <c r="L125" s="238"/>
    </row>
    <row r="126" spans="2:12" s="19" customFormat="1" ht="15.75">
      <c r="B126" s="442" t="s">
        <v>984</v>
      </c>
      <c r="C126" s="234" t="s">
        <v>901</v>
      </c>
      <c r="D126" s="396" t="s">
        <v>41</v>
      </c>
      <c r="E126" s="227" t="s">
        <v>825</v>
      </c>
      <c r="F126" s="276" t="s">
        <v>17</v>
      </c>
      <c r="G126" s="235">
        <f>'Memorial de Cálculo'!L115</f>
        <v>0.6</v>
      </c>
      <c r="H126" s="236">
        <v>74.17</v>
      </c>
      <c r="I126" s="360">
        <f t="shared" si="10"/>
        <v>92.66</v>
      </c>
      <c r="J126" s="360">
        <f t="shared" si="11"/>
        <v>55.6</v>
      </c>
      <c r="K126" s="237"/>
      <c r="L126" s="238"/>
    </row>
    <row r="127" spans="2:12" s="19" customFormat="1" ht="15.75">
      <c r="B127" s="577" t="s">
        <v>744</v>
      </c>
      <c r="C127" s="579" t="s">
        <v>300</v>
      </c>
      <c r="D127" s="580"/>
      <c r="E127" s="581"/>
      <c r="F127" s="582"/>
      <c r="G127" s="583"/>
      <c r="H127" s="584"/>
      <c r="I127" s="569"/>
      <c r="J127" s="569"/>
      <c r="K127" s="585"/>
      <c r="L127" s="573"/>
    </row>
    <row r="128" spans="2:12" s="19" customFormat="1" ht="15.75">
      <c r="B128" s="225" t="s">
        <v>745</v>
      </c>
      <c r="C128" s="226" t="s">
        <v>301</v>
      </c>
      <c r="D128" s="212" t="s">
        <v>41</v>
      </c>
      <c r="E128" s="212">
        <v>72554</v>
      </c>
      <c r="F128" s="213" t="s">
        <v>1</v>
      </c>
      <c r="G128" s="205" t="s">
        <v>338</v>
      </c>
      <c r="H128" s="229">
        <v>476.05</v>
      </c>
      <c r="I128" s="202">
        <f t="shared" si="8"/>
        <v>594.73</v>
      </c>
      <c r="J128" s="202">
        <f t="shared" si="9"/>
        <v>2973.65</v>
      </c>
      <c r="K128" s="211"/>
      <c r="L128" s="207"/>
    </row>
    <row r="129" spans="2:12" s="19" customFormat="1" ht="15.75">
      <c r="B129" s="225" t="s">
        <v>985</v>
      </c>
      <c r="C129" s="226" t="s">
        <v>302</v>
      </c>
      <c r="D129" s="212" t="s">
        <v>41</v>
      </c>
      <c r="E129" s="212" t="s">
        <v>86</v>
      </c>
      <c r="F129" s="213" t="s">
        <v>1</v>
      </c>
      <c r="G129" s="205" t="s">
        <v>338</v>
      </c>
      <c r="H129" s="291">
        <v>143.74</v>
      </c>
      <c r="I129" s="202">
        <f>ROUND(H129*($I$15/100+1),2)</f>
        <v>179.57</v>
      </c>
      <c r="J129" s="202">
        <f>ROUND(G129*I129,2)</f>
        <v>897.85</v>
      </c>
      <c r="K129" s="211"/>
      <c r="L129" s="207"/>
    </row>
    <row r="130" spans="2:12" s="19" customFormat="1" ht="30.75" thickBot="1">
      <c r="B130" s="225" t="s">
        <v>747</v>
      </c>
      <c r="C130" s="694" t="s">
        <v>303</v>
      </c>
      <c r="D130" s="695" t="s">
        <v>41</v>
      </c>
      <c r="E130" s="695" t="s">
        <v>63</v>
      </c>
      <c r="F130" s="696" t="s">
        <v>1</v>
      </c>
      <c r="G130" s="678" t="s">
        <v>340</v>
      </c>
      <c r="H130" s="697">
        <v>148.25</v>
      </c>
      <c r="I130" s="558">
        <f>ROUND(H130*($I$15/100+1),2)</f>
        <v>185.21</v>
      </c>
      <c r="J130" s="558">
        <f>ROUND(G130*I130,2)</f>
        <v>740.84</v>
      </c>
      <c r="K130" s="679"/>
      <c r="L130" s="560"/>
    </row>
    <row r="131" spans="2:17" ht="18" customHeight="1" thickBot="1">
      <c r="B131" s="561" t="s">
        <v>21</v>
      </c>
      <c r="C131" s="546" t="s">
        <v>37</v>
      </c>
      <c r="D131" s="547"/>
      <c r="E131" s="562"/>
      <c r="F131" s="548"/>
      <c r="G131" s="549"/>
      <c r="H131" s="549"/>
      <c r="I131" s="549"/>
      <c r="J131" s="550"/>
      <c r="K131" s="563">
        <f>SUM(J132:J177)</f>
        <v>65610.66</v>
      </c>
      <c r="L131" s="552">
        <f>K131/$K$269</f>
        <v>0.096692277556834</v>
      </c>
      <c r="M131" s="19"/>
      <c r="N131" s="19"/>
      <c r="O131" s="19"/>
      <c r="P131" s="19"/>
      <c r="Q131" s="19"/>
    </row>
    <row r="132" spans="2:12" s="19" customFormat="1" ht="15.75">
      <c r="B132" s="225" t="s">
        <v>65</v>
      </c>
      <c r="C132" s="217" t="s">
        <v>341</v>
      </c>
      <c r="D132" s="203" t="s">
        <v>41</v>
      </c>
      <c r="E132" s="212">
        <v>83438</v>
      </c>
      <c r="F132" s="213" t="s">
        <v>1</v>
      </c>
      <c r="G132" s="214" t="s">
        <v>367</v>
      </c>
      <c r="H132" s="215">
        <v>5.72</v>
      </c>
      <c r="I132" s="202">
        <f aca="true" t="shared" si="12" ref="I132:I177">ROUND(H132*($I$15/100+1),2)</f>
        <v>7.15</v>
      </c>
      <c r="J132" s="202">
        <f>ROUND(G132*I132,2)</f>
        <v>429</v>
      </c>
      <c r="K132" s="211"/>
      <c r="L132" s="207"/>
    </row>
    <row r="133" spans="2:12" s="19" customFormat="1" ht="15.75">
      <c r="B133" s="225" t="s">
        <v>109</v>
      </c>
      <c r="C133" s="217" t="s">
        <v>342</v>
      </c>
      <c r="D133" s="216" t="s">
        <v>41</v>
      </c>
      <c r="E133" s="228">
        <v>83449</v>
      </c>
      <c r="F133" s="213" t="s">
        <v>1</v>
      </c>
      <c r="G133" s="352" t="s">
        <v>287</v>
      </c>
      <c r="H133" s="350">
        <v>249.92</v>
      </c>
      <c r="I133" s="202">
        <f t="shared" si="12"/>
        <v>312.23</v>
      </c>
      <c r="J133" s="202">
        <f aca="true" t="shared" si="13" ref="J133:J169">ROUND(G133*I133,2)</f>
        <v>1873.38</v>
      </c>
      <c r="K133" s="211"/>
      <c r="L133" s="207"/>
    </row>
    <row r="134" spans="2:17" s="21" customFormat="1" ht="30">
      <c r="B134" s="225" t="s">
        <v>460</v>
      </c>
      <c r="C134" s="218" t="s">
        <v>343</v>
      </c>
      <c r="D134" s="216" t="s">
        <v>45</v>
      </c>
      <c r="E134" s="227" t="s">
        <v>479</v>
      </c>
      <c r="F134" s="220" t="s">
        <v>1</v>
      </c>
      <c r="G134" s="221" t="s">
        <v>290</v>
      </c>
      <c r="H134" s="364">
        <v>106.63</v>
      </c>
      <c r="I134" s="360">
        <f t="shared" si="12"/>
        <v>133.21</v>
      </c>
      <c r="J134" s="360">
        <f t="shared" si="13"/>
        <v>1598.52</v>
      </c>
      <c r="K134" s="363"/>
      <c r="L134" s="363"/>
      <c r="M134" s="19"/>
      <c r="N134" s="19"/>
      <c r="O134" s="19"/>
      <c r="P134" s="19"/>
      <c r="Q134" s="19"/>
    </row>
    <row r="135" spans="2:17" s="21" customFormat="1" ht="15.75">
      <c r="B135" s="225" t="s">
        <v>463</v>
      </c>
      <c r="C135" s="218" t="s">
        <v>344</v>
      </c>
      <c r="D135" s="216" t="s">
        <v>45</v>
      </c>
      <c r="E135" s="227" t="s">
        <v>478</v>
      </c>
      <c r="F135" s="220" t="s">
        <v>1</v>
      </c>
      <c r="G135" s="221" t="s">
        <v>240</v>
      </c>
      <c r="H135" s="362">
        <v>158.18</v>
      </c>
      <c r="I135" s="360">
        <f t="shared" si="12"/>
        <v>197.61</v>
      </c>
      <c r="J135" s="360">
        <f t="shared" si="13"/>
        <v>197.61</v>
      </c>
      <c r="K135" s="363"/>
      <c r="L135" s="363"/>
      <c r="M135" s="19"/>
      <c r="N135" s="19"/>
      <c r="O135" s="19"/>
      <c r="P135" s="19"/>
      <c r="Q135" s="19"/>
    </row>
    <row r="136" spans="2:17" s="21" customFormat="1" ht="18" customHeight="1">
      <c r="B136" s="225" t="s">
        <v>986</v>
      </c>
      <c r="C136" s="218" t="s">
        <v>345</v>
      </c>
      <c r="D136" s="216" t="s">
        <v>45</v>
      </c>
      <c r="E136" s="219" t="s">
        <v>480</v>
      </c>
      <c r="F136" s="220" t="s">
        <v>1</v>
      </c>
      <c r="G136" s="221" t="s">
        <v>286</v>
      </c>
      <c r="H136" s="362">
        <v>5.65</v>
      </c>
      <c r="I136" s="360">
        <f t="shared" si="12"/>
        <v>7.06</v>
      </c>
      <c r="J136" s="360">
        <f t="shared" si="13"/>
        <v>1059</v>
      </c>
      <c r="K136" s="363"/>
      <c r="L136" s="363"/>
      <c r="M136" s="19"/>
      <c r="N136" s="19"/>
      <c r="O136" s="19"/>
      <c r="P136" s="19"/>
      <c r="Q136" s="19"/>
    </row>
    <row r="137" spans="2:17" s="12" customFormat="1" ht="18" customHeight="1">
      <c r="B137" s="225" t="s">
        <v>619</v>
      </c>
      <c r="C137" s="218" t="s">
        <v>346</v>
      </c>
      <c r="D137" s="216" t="s">
        <v>45</v>
      </c>
      <c r="E137" s="227" t="s">
        <v>480</v>
      </c>
      <c r="F137" s="220" t="s">
        <v>1</v>
      </c>
      <c r="G137" s="221" t="s">
        <v>340</v>
      </c>
      <c r="H137" s="362">
        <v>5.65</v>
      </c>
      <c r="I137" s="360">
        <f t="shared" si="12"/>
        <v>7.06</v>
      </c>
      <c r="J137" s="360">
        <f t="shared" si="13"/>
        <v>28.24</v>
      </c>
      <c r="K137" s="223"/>
      <c r="L137" s="224"/>
      <c r="M137" s="19"/>
      <c r="N137" s="19"/>
      <c r="O137" s="19"/>
      <c r="P137" s="19"/>
      <c r="Q137" s="19"/>
    </row>
    <row r="138" spans="2:17" s="12" customFormat="1" ht="30" customHeight="1">
      <c r="B138" s="225" t="s">
        <v>987</v>
      </c>
      <c r="C138" s="218" t="s">
        <v>350</v>
      </c>
      <c r="D138" s="216" t="s">
        <v>41</v>
      </c>
      <c r="E138" s="219">
        <v>83422</v>
      </c>
      <c r="F138" s="220" t="s">
        <v>33</v>
      </c>
      <c r="G138" s="221" t="s">
        <v>368</v>
      </c>
      <c r="H138" s="362">
        <v>13.36</v>
      </c>
      <c r="I138" s="360">
        <f t="shared" si="12"/>
        <v>16.69</v>
      </c>
      <c r="J138" s="360">
        <f t="shared" si="13"/>
        <v>3338</v>
      </c>
      <c r="K138" s="363"/>
      <c r="L138" s="363"/>
      <c r="M138" s="19"/>
      <c r="N138" s="19"/>
      <c r="O138" s="19"/>
      <c r="P138" s="19"/>
      <c r="Q138" s="19"/>
    </row>
    <row r="139" spans="2:17" s="12" customFormat="1" ht="15">
      <c r="B139" s="225" t="s">
        <v>988</v>
      </c>
      <c r="C139" s="218" t="s">
        <v>347</v>
      </c>
      <c r="D139" s="216" t="s">
        <v>41</v>
      </c>
      <c r="E139" s="365" t="s">
        <v>481</v>
      </c>
      <c r="F139" s="220" t="s">
        <v>33</v>
      </c>
      <c r="G139" s="221" t="s">
        <v>369</v>
      </c>
      <c r="H139" s="362">
        <v>1.76</v>
      </c>
      <c r="I139" s="360">
        <f t="shared" si="12"/>
        <v>2.2</v>
      </c>
      <c r="J139" s="360">
        <f t="shared" si="13"/>
        <v>1540</v>
      </c>
      <c r="K139" s="363"/>
      <c r="L139" s="363"/>
      <c r="M139" s="19"/>
      <c r="N139" s="19"/>
      <c r="O139" s="19"/>
      <c r="P139" s="19"/>
      <c r="Q139" s="19"/>
    </row>
    <row r="140" spans="2:17" s="12" customFormat="1" ht="30" customHeight="1">
      <c r="B140" s="225" t="s">
        <v>989</v>
      </c>
      <c r="C140" s="218" t="s">
        <v>351</v>
      </c>
      <c r="D140" s="216" t="s">
        <v>41</v>
      </c>
      <c r="E140" s="365" t="s">
        <v>482</v>
      </c>
      <c r="F140" s="220" t="s">
        <v>33</v>
      </c>
      <c r="G140" s="221" t="s">
        <v>370</v>
      </c>
      <c r="H140" s="362">
        <v>2.32</v>
      </c>
      <c r="I140" s="360">
        <f t="shared" si="12"/>
        <v>2.9</v>
      </c>
      <c r="J140" s="360">
        <f t="shared" si="13"/>
        <v>5510</v>
      </c>
      <c r="K140" s="223"/>
      <c r="L140" s="224"/>
      <c r="M140" s="19"/>
      <c r="N140" s="19"/>
      <c r="O140" s="19"/>
      <c r="P140" s="19"/>
      <c r="Q140" s="19"/>
    </row>
    <row r="141" spans="2:17" s="12" customFormat="1" ht="27" customHeight="1">
      <c r="B141" s="225" t="s">
        <v>990</v>
      </c>
      <c r="C141" s="218" t="s">
        <v>352</v>
      </c>
      <c r="D141" s="216" t="s">
        <v>41</v>
      </c>
      <c r="E141" s="365" t="s">
        <v>483</v>
      </c>
      <c r="F141" s="220" t="s">
        <v>33</v>
      </c>
      <c r="G141" s="221" t="s">
        <v>371</v>
      </c>
      <c r="H141" s="364">
        <v>3.4</v>
      </c>
      <c r="I141" s="360">
        <f t="shared" si="12"/>
        <v>4.25</v>
      </c>
      <c r="J141" s="360">
        <f t="shared" si="13"/>
        <v>2550</v>
      </c>
      <c r="K141" s="223"/>
      <c r="L141" s="224"/>
      <c r="M141" s="19"/>
      <c r="N141" s="19"/>
      <c r="O141" s="19"/>
      <c r="P141" s="19"/>
      <c r="Q141" s="19"/>
    </row>
    <row r="142" spans="2:17" s="12" customFormat="1" ht="27.75" customHeight="1">
      <c r="B142" s="225" t="s">
        <v>991</v>
      </c>
      <c r="C142" s="218" t="s">
        <v>353</v>
      </c>
      <c r="D142" s="216" t="s">
        <v>41</v>
      </c>
      <c r="E142" s="365" t="s">
        <v>484</v>
      </c>
      <c r="F142" s="220" t="s">
        <v>33</v>
      </c>
      <c r="G142" s="221" t="s">
        <v>372</v>
      </c>
      <c r="H142" s="362">
        <v>4.61</v>
      </c>
      <c r="I142" s="360">
        <f t="shared" si="12"/>
        <v>5.76</v>
      </c>
      <c r="J142" s="360">
        <f t="shared" si="13"/>
        <v>2880</v>
      </c>
      <c r="K142" s="223"/>
      <c r="L142" s="224"/>
      <c r="M142" s="19"/>
      <c r="N142" s="19"/>
      <c r="O142" s="19"/>
      <c r="P142" s="19"/>
      <c r="Q142" s="19"/>
    </row>
    <row r="143" spans="2:17" s="12" customFormat="1" ht="30">
      <c r="B143" s="225" t="s">
        <v>992</v>
      </c>
      <c r="C143" s="218" t="s">
        <v>348</v>
      </c>
      <c r="D143" s="216" t="s">
        <v>41</v>
      </c>
      <c r="E143" s="227" t="s">
        <v>485</v>
      </c>
      <c r="F143" s="220" t="s">
        <v>33</v>
      </c>
      <c r="G143" s="221" t="s">
        <v>368</v>
      </c>
      <c r="H143" s="362">
        <v>30.76</v>
      </c>
      <c r="I143" s="360">
        <f t="shared" si="12"/>
        <v>38.43</v>
      </c>
      <c r="J143" s="360">
        <f t="shared" si="13"/>
        <v>7686</v>
      </c>
      <c r="K143" s="223"/>
      <c r="L143" s="224"/>
      <c r="M143" s="19"/>
      <c r="N143" s="19"/>
      <c r="O143" s="19"/>
      <c r="P143" s="19"/>
      <c r="Q143" s="19"/>
    </row>
    <row r="144" spans="2:17" s="12" customFormat="1" ht="15.75">
      <c r="B144" s="225" t="s">
        <v>993</v>
      </c>
      <c r="C144" s="218" t="s">
        <v>349</v>
      </c>
      <c r="D144" s="216" t="s">
        <v>45</v>
      </c>
      <c r="E144" s="227" t="s">
        <v>486</v>
      </c>
      <c r="F144" s="220" t="s">
        <v>1</v>
      </c>
      <c r="G144" s="221" t="s">
        <v>373</v>
      </c>
      <c r="H144" s="362">
        <v>15.34</v>
      </c>
      <c r="I144" s="360">
        <f t="shared" si="12"/>
        <v>19.16</v>
      </c>
      <c r="J144" s="360">
        <f t="shared" si="13"/>
        <v>479</v>
      </c>
      <c r="K144" s="223"/>
      <c r="L144" s="224"/>
      <c r="M144" s="19"/>
      <c r="N144" s="19"/>
      <c r="O144" s="19"/>
      <c r="P144" s="19"/>
      <c r="Q144" s="19"/>
    </row>
    <row r="145" spans="2:17" s="12" customFormat="1" ht="30">
      <c r="B145" s="225" t="s">
        <v>994</v>
      </c>
      <c r="C145" s="218" t="s">
        <v>354</v>
      </c>
      <c r="D145" s="216" t="s">
        <v>41</v>
      </c>
      <c r="E145" s="227" t="s">
        <v>487</v>
      </c>
      <c r="F145" s="220" t="s">
        <v>1</v>
      </c>
      <c r="G145" s="221" t="s">
        <v>285</v>
      </c>
      <c r="H145" s="362">
        <v>9.31</v>
      </c>
      <c r="I145" s="360">
        <f t="shared" si="12"/>
        <v>11.63</v>
      </c>
      <c r="J145" s="360">
        <f t="shared" si="13"/>
        <v>197.71</v>
      </c>
      <c r="K145" s="223"/>
      <c r="L145" s="224"/>
      <c r="M145" s="19"/>
      <c r="N145" s="19"/>
      <c r="O145" s="19"/>
      <c r="P145" s="19"/>
      <c r="Q145" s="19"/>
    </row>
    <row r="146" spans="2:17" s="12" customFormat="1" ht="30">
      <c r="B146" s="225" t="s">
        <v>995</v>
      </c>
      <c r="C146" s="218" t="s">
        <v>355</v>
      </c>
      <c r="D146" s="216" t="s">
        <v>41</v>
      </c>
      <c r="E146" s="227" t="s">
        <v>488</v>
      </c>
      <c r="F146" s="220" t="s">
        <v>1</v>
      </c>
      <c r="G146" s="221" t="s">
        <v>374</v>
      </c>
      <c r="H146" s="362">
        <v>43.38</v>
      </c>
      <c r="I146" s="360">
        <f t="shared" si="12"/>
        <v>54.19</v>
      </c>
      <c r="J146" s="360">
        <f t="shared" si="13"/>
        <v>1192.18</v>
      </c>
      <c r="K146" s="223"/>
      <c r="L146" s="224"/>
      <c r="M146" s="19"/>
      <c r="N146" s="19"/>
      <c r="O146" s="19"/>
      <c r="P146" s="19"/>
      <c r="Q146" s="19"/>
    </row>
    <row r="147" spans="2:17" s="12" customFormat="1" ht="30">
      <c r="B147" s="225" t="s">
        <v>996</v>
      </c>
      <c r="C147" s="218" t="s">
        <v>356</v>
      </c>
      <c r="D147" s="216" t="s">
        <v>489</v>
      </c>
      <c r="E147" s="227" t="s">
        <v>366</v>
      </c>
      <c r="F147" s="220" t="s">
        <v>1</v>
      </c>
      <c r="G147" s="221" t="s">
        <v>279</v>
      </c>
      <c r="H147" s="362">
        <v>82.22</v>
      </c>
      <c r="I147" s="360">
        <f t="shared" si="12"/>
        <v>102.72</v>
      </c>
      <c r="J147" s="360">
        <f t="shared" si="13"/>
        <v>205.44</v>
      </c>
      <c r="K147" s="223"/>
      <c r="L147" s="224"/>
      <c r="M147" s="19"/>
      <c r="N147" s="19"/>
      <c r="O147" s="19"/>
      <c r="P147" s="19"/>
      <c r="Q147" s="19"/>
    </row>
    <row r="148" spans="2:17" s="12" customFormat="1" ht="30">
      <c r="B148" s="225" t="s">
        <v>997</v>
      </c>
      <c r="C148" s="218" t="s">
        <v>357</v>
      </c>
      <c r="D148" s="216" t="s">
        <v>227</v>
      </c>
      <c r="E148" s="227">
        <v>371370</v>
      </c>
      <c r="F148" s="220" t="s">
        <v>1</v>
      </c>
      <c r="G148" s="221" t="s">
        <v>240</v>
      </c>
      <c r="H148" s="362">
        <v>415.97</v>
      </c>
      <c r="I148" s="360">
        <f t="shared" si="12"/>
        <v>519.67</v>
      </c>
      <c r="J148" s="360">
        <f t="shared" si="13"/>
        <v>519.67</v>
      </c>
      <c r="K148" s="223"/>
      <c r="L148" s="224"/>
      <c r="M148" s="19"/>
      <c r="N148" s="19"/>
      <c r="O148" s="19"/>
      <c r="P148" s="19"/>
      <c r="Q148" s="19"/>
    </row>
    <row r="149" spans="2:17" s="12" customFormat="1" ht="30">
      <c r="B149" s="225" t="s">
        <v>998</v>
      </c>
      <c r="C149" s="218" t="s">
        <v>358</v>
      </c>
      <c r="D149" s="216" t="s">
        <v>41</v>
      </c>
      <c r="E149" s="227" t="s">
        <v>490</v>
      </c>
      <c r="F149" s="220" t="s">
        <v>1</v>
      </c>
      <c r="G149" s="221" t="s">
        <v>240</v>
      </c>
      <c r="H149" s="362">
        <v>616.61</v>
      </c>
      <c r="I149" s="360">
        <f t="shared" si="12"/>
        <v>770.33</v>
      </c>
      <c r="J149" s="360">
        <f t="shared" si="13"/>
        <v>770.33</v>
      </c>
      <c r="K149" s="223"/>
      <c r="L149" s="224"/>
      <c r="M149" s="19"/>
      <c r="N149" s="19"/>
      <c r="O149" s="19"/>
      <c r="P149" s="19"/>
      <c r="Q149" s="19"/>
    </row>
    <row r="150" spans="2:17" s="12" customFormat="1" ht="30">
      <c r="B150" s="225" t="s">
        <v>999</v>
      </c>
      <c r="C150" s="218" t="s">
        <v>359</v>
      </c>
      <c r="D150" s="216" t="s">
        <v>41</v>
      </c>
      <c r="E150" s="227">
        <v>72936</v>
      </c>
      <c r="F150" s="220" t="s">
        <v>33</v>
      </c>
      <c r="G150" s="221" t="s">
        <v>375</v>
      </c>
      <c r="H150" s="362">
        <v>7.04</v>
      </c>
      <c r="I150" s="360">
        <f t="shared" si="12"/>
        <v>8.8</v>
      </c>
      <c r="J150" s="360">
        <f t="shared" si="13"/>
        <v>704</v>
      </c>
      <c r="K150" s="223"/>
      <c r="L150" s="224"/>
      <c r="M150" s="19"/>
      <c r="N150" s="19"/>
      <c r="O150" s="19"/>
      <c r="P150" s="19"/>
      <c r="Q150" s="19"/>
    </row>
    <row r="151" spans="2:17" s="12" customFormat="1" ht="15.75">
      <c r="B151" s="225" t="s">
        <v>1000</v>
      </c>
      <c r="C151" s="218" t="s">
        <v>360</v>
      </c>
      <c r="D151" s="216" t="s">
        <v>41</v>
      </c>
      <c r="E151" s="227">
        <v>73613</v>
      </c>
      <c r="F151" s="220" t="s">
        <v>33</v>
      </c>
      <c r="G151" s="221" t="s">
        <v>376</v>
      </c>
      <c r="H151" s="362">
        <v>9.22</v>
      </c>
      <c r="I151" s="360">
        <f t="shared" si="12"/>
        <v>11.52</v>
      </c>
      <c r="J151" s="360">
        <f t="shared" si="13"/>
        <v>8640</v>
      </c>
      <c r="K151" s="223"/>
      <c r="L151" s="224"/>
      <c r="M151" s="19"/>
      <c r="N151" s="19"/>
      <c r="O151" s="19"/>
      <c r="P151" s="19"/>
      <c r="Q151" s="19"/>
    </row>
    <row r="152" spans="2:17" s="12" customFormat="1" ht="15.75">
      <c r="B152" s="225" t="s">
        <v>1001</v>
      </c>
      <c r="C152" s="218" t="s">
        <v>361</v>
      </c>
      <c r="D152" s="216" t="s">
        <v>41</v>
      </c>
      <c r="E152" s="227">
        <v>55867</v>
      </c>
      <c r="F152" s="220" t="s">
        <v>33</v>
      </c>
      <c r="G152" s="221" t="s">
        <v>367</v>
      </c>
      <c r="H152" s="362">
        <v>33.94</v>
      </c>
      <c r="I152" s="360">
        <f t="shared" si="12"/>
        <v>42.4</v>
      </c>
      <c r="J152" s="360">
        <f t="shared" si="13"/>
        <v>2544</v>
      </c>
      <c r="K152" s="223"/>
      <c r="L152" s="224"/>
      <c r="M152" s="19"/>
      <c r="N152" s="19"/>
      <c r="O152" s="19"/>
      <c r="P152" s="19"/>
      <c r="Q152" s="19"/>
    </row>
    <row r="153" spans="2:17" s="12" customFormat="1" ht="15.75">
      <c r="B153" s="225" t="s">
        <v>1002</v>
      </c>
      <c r="C153" s="218" t="s">
        <v>362</v>
      </c>
      <c r="D153" s="216" t="s">
        <v>41</v>
      </c>
      <c r="E153" s="227">
        <v>72335</v>
      </c>
      <c r="F153" s="220" t="s">
        <v>1</v>
      </c>
      <c r="G153" s="221" t="s">
        <v>377</v>
      </c>
      <c r="H153" s="362">
        <v>2.61</v>
      </c>
      <c r="I153" s="360">
        <f t="shared" si="12"/>
        <v>3.26</v>
      </c>
      <c r="J153" s="360">
        <f t="shared" si="13"/>
        <v>456.4</v>
      </c>
      <c r="K153" s="223"/>
      <c r="L153" s="224"/>
      <c r="M153" s="19"/>
      <c r="N153" s="19"/>
      <c r="O153" s="19"/>
      <c r="P153" s="19"/>
      <c r="Q153" s="19"/>
    </row>
    <row r="154" spans="2:17" s="12" customFormat="1" ht="15.75">
      <c r="B154" s="225" t="s">
        <v>1003</v>
      </c>
      <c r="C154" s="218" t="s">
        <v>363</v>
      </c>
      <c r="D154" s="216" t="s">
        <v>41</v>
      </c>
      <c r="E154" s="227">
        <v>72336</v>
      </c>
      <c r="F154" s="220" t="s">
        <v>1</v>
      </c>
      <c r="G154" s="221" t="s">
        <v>340</v>
      </c>
      <c r="H154" s="362">
        <v>4.47</v>
      </c>
      <c r="I154" s="360">
        <f t="shared" si="12"/>
        <v>5.58</v>
      </c>
      <c r="J154" s="360">
        <f t="shared" si="13"/>
        <v>22.32</v>
      </c>
      <c r="K154" s="223"/>
      <c r="L154" s="224"/>
      <c r="M154" s="19"/>
      <c r="N154" s="19"/>
      <c r="O154" s="19"/>
      <c r="P154" s="19"/>
      <c r="Q154" s="19"/>
    </row>
    <row r="155" spans="2:17" s="12" customFormat="1" ht="15.75">
      <c r="B155" s="225" t="s">
        <v>1004</v>
      </c>
      <c r="C155" s="218" t="s">
        <v>364</v>
      </c>
      <c r="D155" s="216" t="s">
        <v>49</v>
      </c>
      <c r="E155" s="219" t="s">
        <v>491</v>
      </c>
      <c r="F155" s="220" t="s">
        <v>1</v>
      </c>
      <c r="G155" s="221" t="s">
        <v>240</v>
      </c>
      <c r="H155" s="362">
        <v>33.8</v>
      </c>
      <c r="I155" s="360">
        <f t="shared" si="12"/>
        <v>42.23</v>
      </c>
      <c r="J155" s="360">
        <f t="shared" si="13"/>
        <v>42.23</v>
      </c>
      <c r="K155" s="223"/>
      <c r="L155" s="224"/>
      <c r="M155" s="19"/>
      <c r="N155" s="19"/>
      <c r="O155" s="19"/>
      <c r="P155" s="19"/>
      <c r="Q155" s="19"/>
    </row>
    <row r="156" spans="2:17" s="12" customFormat="1" ht="15.75">
      <c r="B156" s="225" t="s">
        <v>1005</v>
      </c>
      <c r="C156" s="218" t="s">
        <v>365</v>
      </c>
      <c r="D156" s="216" t="s">
        <v>49</v>
      </c>
      <c r="E156" s="219" t="s">
        <v>494</v>
      </c>
      <c r="F156" s="220" t="s">
        <v>1</v>
      </c>
      <c r="G156" s="221" t="s">
        <v>338</v>
      </c>
      <c r="H156" s="362">
        <v>108.06</v>
      </c>
      <c r="I156" s="360">
        <f t="shared" si="12"/>
        <v>135</v>
      </c>
      <c r="J156" s="360">
        <f t="shared" si="13"/>
        <v>675</v>
      </c>
      <c r="K156" s="223"/>
      <c r="L156" s="224"/>
      <c r="M156" s="19"/>
      <c r="N156" s="19"/>
      <c r="O156" s="19"/>
      <c r="P156" s="19"/>
      <c r="Q156" s="19"/>
    </row>
    <row r="157" spans="2:17" s="12" customFormat="1" ht="15.75">
      <c r="B157" s="225" t="s">
        <v>1006</v>
      </c>
      <c r="C157" s="218" t="s">
        <v>492</v>
      </c>
      <c r="D157" s="216" t="s">
        <v>49</v>
      </c>
      <c r="E157" s="219" t="s">
        <v>495</v>
      </c>
      <c r="F157" s="220" t="s">
        <v>1</v>
      </c>
      <c r="G157" s="221" t="s">
        <v>378</v>
      </c>
      <c r="H157" s="362">
        <v>126.66</v>
      </c>
      <c r="I157" s="360">
        <f t="shared" si="12"/>
        <v>158.24</v>
      </c>
      <c r="J157" s="360">
        <f t="shared" si="13"/>
        <v>2057.12</v>
      </c>
      <c r="K157" s="223"/>
      <c r="L157" s="224"/>
      <c r="M157" s="19"/>
      <c r="N157" s="19"/>
      <c r="O157" s="19"/>
      <c r="P157" s="19"/>
      <c r="Q157" s="19"/>
    </row>
    <row r="158" spans="2:17" s="12" customFormat="1" ht="15.75">
      <c r="B158" s="225" t="s">
        <v>1007</v>
      </c>
      <c r="C158" s="218" t="s">
        <v>493</v>
      </c>
      <c r="D158" s="216" t="s">
        <v>49</v>
      </c>
      <c r="E158" s="219" t="s">
        <v>496</v>
      </c>
      <c r="F158" s="220" t="s">
        <v>1</v>
      </c>
      <c r="G158" s="221" t="s">
        <v>240</v>
      </c>
      <c r="H158" s="362">
        <v>245.36</v>
      </c>
      <c r="I158" s="360">
        <f t="shared" si="12"/>
        <v>306.53</v>
      </c>
      <c r="J158" s="360">
        <f t="shared" si="13"/>
        <v>306.53</v>
      </c>
      <c r="K158" s="223"/>
      <c r="L158" s="224"/>
      <c r="M158" s="19"/>
      <c r="N158" s="19"/>
      <c r="O158" s="19"/>
      <c r="P158" s="19"/>
      <c r="Q158" s="19"/>
    </row>
    <row r="159" spans="2:17" s="12" customFormat="1" ht="15.75">
      <c r="B159" s="225" t="s">
        <v>1008</v>
      </c>
      <c r="C159" s="218" t="s">
        <v>379</v>
      </c>
      <c r="D159" s="216" t="s">
        <v>227</v>
      </c>
      <c r="E159" s="227">
        <v>371711</v>
      </c>
      <c r="F159" s="220" t="s">
        <v>1</v>
      </c>
      <c r="G159" s="221" t="s">
        <v>240</v>
      </c>
      <c r="H159" s="362">
        <v>266.76</v>
      </c>
      <c r="I159" s="360">
        <f t="shared" si="12"/>
        <v>333.26</v>
      </c>
      <c r="J159" s="360">
        <f t="shared" si="13"/>
        <v>333.26</v>
      </c>
      <c r="K159" s="223"/>
      <c r="L159" s="224"/>
      <c r="M159" s="19"/>
      <c r="N159" s="19"/>
      <c r="O159" s="19"/>
      <c r="P159" s="19"/>
      <c r="Q159" s="19"/>
    </row>
    <row r="160" spans="2:17" s="12" customFormat="1" ht="15.75">
      <c r="B160" s="225" t="s">
        <v>1009</v>
      </c>
      <c r="C160" s="218" t="s">
        <v>380</v>
      </c>
      <c r="D160" s="216" t="s">
        <v>49</v>
      </c>
      <c r="E160" s="219" t="s">
        <v>498</v>
      </c>
      <c r="F160" s="220" t="s">
        <v>406</v>
      </c>
      <c r="G160" s="221" t="s">
        <v>374</v>
      </c>
      <c r="H160" s="362">
        <v>14.76</v>
      </c>
      <c r="I160" s="360">
        <f t="shared" si="12"/>
        <v>18.44</v>
      </c>
      <c r="J160" s="360">
        <f t="shared" si="13"/>
        <v>405.68</v>
      </c>
      <c r="K160" s="223"/>
      <c r="L160" s="224"/>
      <c r="M160" s="19"/>
      <c r="N160" s="19"/>
      <c r="O160" s="19"/>
      <c r="P160" s="19"/>
      <c r="Q160" s="19"/>
    </row>
    <row r="161" spans="2:17" s="12" customFormat="1" ht="15.75">
      <c r="B161" s="225" t="s">
        <v>1010</v>
      </c>
      <c r="C161" s="218" t="s">
        <v>381</v>
      </c>
      <c r="D161" s="216" t="s">
        <v>49</v>
      </c>
      <c r="E161" s="219" t="s">
        <v>497</v>
      </c>
      <c r="F161" s="220" t="s">
        <v>406</v>
      </c>
      <c r="G161" s="221" t="s">
        <v>258</v>
      </c>
      <c r="H161" s="362">
        <v>13.11</v>
      </c>
      <c r="I161" s="360">
        <f t="shared" si="12"/>
        <v>16.38</v>
      </c>
      <c r="J161" s="360">
        <f t="shared" si="13"/>
        <v>507.78</v>
      </c>
      <c r="K161" s="223"/>
      <c r="L161" s="224"/>
      <c r="M161" s="19"/>
      <c r="N161" s="19"/>
      <c r="O161" s="19"/>
      <c r="P161" s="19"/>
      <c r="Q161" s="19"/>
    </row>
    <row r="162" spans="2:17" s="12" customFormat="1" ht="30">
      <c r="B162" s="225" t="s">
        <v>1011</v>
      </c>
      <c r="C162" s="218" t="s">
        <v>500</v>
      </c>
      <c r="D162" s="216" t="s">
        <v>49</v>
      </c>
      <c r="E162" s="219" t="s">
        <v>499</v>
      </c>
      <c r="F162" s="220" t="s">
        <v>1</v>
      </c>
      <c r="G162" s="221" t="s">
        <v>401</v>
      </c>
      <c r="H162" s="222">
        <v>145.64</v>
      </c>
      <c r="I162" s="360">
        <f t="shared" si="12"/>
        <v>181.95</v>
      </c>
      <c r="J162" s="360">
        <f t="shared" si="13"/>
        <v>6732.15</v>
      </c>
      <c r="K162" s="223"/>
      <c r="L162" s="224"/>
      <c r="M162" s="19"/>
      <c r="N162" s="19"/>
      <c r="O162" s="19"/>
      <c r="P162" s="19"/>
      <c r="Q162" s="19"/>
    </row>
    <row r="163" spans="2:17" s="12" customFormat="1" ht="45">
      <c r="B163" s="225" t="s">
        <v>1012</v>
      </c>
      <c r="C163" s="218" t="s">
        <v>382</v>
      </c>
      <c r="D163" s="216" t="s">
        <v>227</v>
      </c>
      <c r="E163" s="219" t="s">
        <v>397</v>
      </c>
      <c r="F163" s="220" t="s">
        <v>1</v>
      </c>
      <c r="G163" s="221" t="s">
        <v>402</v>
      </c>
      <c r="H163" s="222">
        <v>78.76</v>
      </c>
      <c r="I163" s="360">
        <f t="shared" si="12"/>
        <v>98.39</v>
      </c>
      <c r="J163" s="360">
        <f t="shared" si="13"/>
        <v>983.9</v>
      </c>
      <c r="K163" s="223"/>
      <c r="L163" s="224"/>
      <c r="M163" s="19"/>
      <c r="N163" s="19"/>
      <c r="O163" s="19"/>
      <c r="P163" s="19"/>
      <c r="Q163" s="19"/>
    </row>
    <row r="164" spans="2:17" s="12" customFormat="1" ht="45">
      <c r="B164" s="225" t="s">
        <v>1013</v>
      </c>
      <c r="C164" s="218" t="s">
        <v>388</v>
      </c>
      <c r="D164" s="216" t="s">
        <v>41</v>
      </c>
      <c r="E164" s="219" t="s">
        <v>398</v>
      </c>
      <c r="F164" s="220" t="s">
        <v>1</v>
      </c>
      <c r="G164" s="221" t="s">
        <v>240</v>
      </c>
      <c r="H164" s="353">
        <v>550.46</v>
      </c>
      <c r="I164" s="202">
        <f t="shared" si="12"/>
        <v>687.69</v>
      </c>
      <c r="J164" s="202">
        <f t="shared" si="13"/>
        <v>687.69</v>
      </c>
      <c r="K164" s="223"/>
      <c r="L164" s="224"/>
      <c r="M164" s="19"/>
      <c r="N164" s="19"/>
      <c r="O164" s="19"/>
      <c r="P164" s="19"/>
      <c r="Q164" s="19"/>
    </row>
    <row r="165" spans="2:17" s="12" customFormat="1" ht="15.75">
      <c r="B165" s="225" t="s">
        <v>1014</v>
      </c>
      <c r="C165" s="218" t="s">
        <v>383</v>
      </c>
      <c r="D165" s="216" t="s">
        <v>41</v>
      </c>
      <c r="E165" s="219" t="s">
        <v>501</v>
      </c>
      <c r="F165" s="220" t="s">
        <v>1</v>
      </c>
      <c r="G165" s="221" t="s">
        <v>290</v>
      </c>
      <c r="H165" s="222">
        <v>14.96</v>
      </c>
      <c r="I165" s="360">
        <f t="shared" si="12"/>
        <v>18.69</v>
      </c>
      <c r="J165" s="360">
        <f t="shared" si="13"/>
        <v>224.28</v>
      </c>
      <c r="K165" s="223"/>
      <c r="L165" s="224"/>
      <c r="M165" s="19"/>
      <c r="N165" s="19"/>
      <c r="O165" s="19"/>
      <c r="P165" s="19"/>
      <c r="Q165" s="19"/>
    </row>
    <row r="166" spans="2:17" s="12" customFormat="1" ht="15.75">
      <c r="B166" s="225" t="s">
        <v>1015</v>
      </c>
      <c r="C166" s="218" t="s">
        <v>384</v>
      </c>
      <c r="D166" s="216" t="s">
        <v>41</v>
      </c>
      <c r="E166" s="219" t="s">
        <v>502</v>
      </c>
      <c r="F166" s="220" t="s">
        <v>1</v>
      </c>
      <c r="G166" s="221" t="s">
        <v>290</v>
      </c>
      <c r="H166" s="222">
        <v>23.88</v>
      </c>
      <c r="I166" s="360">
        <f t="shared" si="12"/>
        <v>29.83</v>
      </c>
      <c r="J166" s="360">
        <f t="shared" si="13"/>
        <v>357.96</v>
      </c>
      <c r="K166" s="223"/>
      <c r="L166" s="224"/>
      <c r="M166" s="19"/>
      <c r="N166" s="19"/>
      <c r="O166" s="19"/>
      <c r="P166" s="19"/>
      <c r="Q166" s="19"/>
    </row>
    <row r="167" spans="2:17" s="12" customFormat="1" ht="15.75">
      <c r="B167" s="225" t="s">
        <v>1016</v>
      </c>
      <c r="C167" s="218" t="s">
        <v>385</v>
      </c>
      <c r="D167" s="216" t="s">
        <v>41</v>
      </c>
      <c r="E167" s="219">
        <v>83540</v>
      </c>
      <c r="F167" s="220" t="s">
        <v>406</v>
      </c>
      <c r="G167" s="221" t="s">
        <v>403</v>
      </c>
      <c r="H167" s="222">
        <v>9.89</v>
      </c>
      <c r="I167" s="360">
        <f t="shared" si="12"/>
        <v>12.36</v>
      </c>
      <c r="J167" s="360">
        <f t="shared" si="13"/>
        <v>1161.84</v>
      </c>
      <c r="K167" s="223"/>
      <c r="L167" s="224"/>
      <c r="M167" s="19"/>
      <c r="N167" s="19"/>
      <c r="O167" s="19"/>
      <c r="P167" s="19"/>
      <c r="Q167" s="19"/>
    </row>
    <row r="168" spans="2:17" s="12" customFormat="1" ht="15.75">
      <c r="B168" s="225" t="s">
        <v>1017</v>
      </c>
      <c r="C168" s="218" t="s">
        <v>386</v>
      </c>
      <c r="D168" s="216" t="s">
        <v>227</v>
      </c>
      <c r="E168" s="219">
        <v>400409</v>
      </c>
      <c r="F168" s="220" t="s">
        <v>1</v>
      </c>
      <c r="G168" s="221" t="s">
        <v>338</v>
      </c>
      <c r="H168" s="222">
        <v>19.64</v>
      </c>
      <c r="I168" s="360">
        <f t="shared" si="12"/>
        <v>24.54</v>
      </c>
      <c r="J168" s="360">
        <f t="shared" si="13"/>
        <v>122.7</v>
      </c>
      <c r="K168" s="223"/>
      <c r="L168" s="224"/>
      <c r="M168" s="19"/>
      <c r="N168" s="19"/>
      <c r="O168" s="19"/>
      <c r="P168" s="19"/>
      <c r="Q168" s="19"/>
    </row>
    <row r="169" spans="2:17" s="12" customFormat="1" ht="15.75">
      <c r="B169" s="225" t="s">
        <v>1018</v>
      </c>
      <c r="C169" s="218" t="s">
        <v>387</v>
      </c>
      <c r="D169" s="216" t="s">
        <v>49</v>
      </c>
      <c r="E169" s="219" t="s">
        <v>503</v>
      </c>
      <c r="F169" s="220" t="s">
        <v>1</v>
      </c>
      <c r="G169" s="221" t="s">
        <v>338</v>
      </c>
      <c r="H169" s="222">
        <v>33.74</v>
      </c>
      <c r="I169" s="360">
        <f t="shared" si="12"/>
        <v>42.15</v>
      </c>
      <c r="J169" s="360">
        <f t="shared" si="13"/>
        <v>210.75</v>
      </c>
      <c r="K169" s="223"/>
      <c r="L169" s="224"/>
      <c r="M169" s="19"/>
      <c r="N169" s="19"/>
      <c r="O169" s="19"/>
      <c r="P169" s="19"/>
      <c r="Q169" s="19"/>
    </row>
    <row r="170" spans="2:17" s="12" customFormat="1" ht="15.75">
      <c r="B170" s="577" t="s">
        <v>1018</v>
      </c>
      <c r="C170" s="579" t="s">
        <v>389</v>
      </c>
      <c r="D170" s="580"/>
      <c r="E170" s="581"/>
      <c r="F170" s="582"/>
      <c r="G170" s="583"/>
      <c r="H170" s="584"/>
      <c r="I170" s="569"/>
      <c r="J170" s="569"/>
      <c r="K170" s="585"/>
      <c r="L170" s="573"/>
      <c r="M170" s="19"/>
      <c r="N170" s="19"/>
      <c r="O170" s="19"/>
      <c r="P170" s="19"/>
      <c r="Q170" s="19"/>
    </row>
    <row r="171" spans="2:17" s="12" customFormat="1" ht="15.75">
      <c r="B171" s="225" t="s">
        <v>1019</v>
      </c>
      <c r="C171" s="218" t="s">
        <v>390</v>
      </c>
      <c r="D171" s="216" t="s">
        <v>41</v>
      </c>
      <c r="E171" s="219">
        <v>72251</v>
      </c>
      <c r="F171" s="220" t="s">
        <v>33</v>
      </c>
      <c r="G171" s="221" t="s">
        <v>404</v>
      </c>
      <c r="H171" s="353">
        <v>9.48</v>
      </c>
      <c r="I171" s="202">
        <f t="shared" si="12"/>
        <v>11.84</v>
      </c>
      <c r="J171" s="202">
        <f>ROUND(G171*I171,2)</f>
        <v>355.2</v>
      </c>
      <c r="K171" s="223"/>
      <c r="L171" s="224"/>
      <c r="M171" s="19"/>
      <c r="N171" s="19"/>
      <c r="O171" s="19"/>
      <c r="P171" s="19"/>
      <c r="Q171" s="19"/>
    </row>
    <row r="172" spans="2:17" s="12" customFormat="1" ht="15.75">
      <c r="B172" s="225" t="s">
        <v>1020</v>
      </c>
      <c r="C172" s="218" t="s">
        <v>391</v>
      </c>
      <c r="D172" s="216" t="s">
        <v>41</v>
      </c>
      <c r="E172" s="219">
        <v>72254</v>
      </c>
      <c r="F172" s="220" t="s">
        <v>33</v>
      </c>
      <c r="G172" s="221" t="s">
        <v>405</v>
      </c>
      <c r="H172" s="222">
        <v>26.41</v>
      </c>
      <c r="I172" s="202">
        <f t="shared" si="12"/>
        <v>32.99</v>
      </c>
      <c r="J172" s="202">
        <f aca="true" t="shared" si="14" ref="J172:J177">ROUND(G172*I172,2)</f>
        <v>1649.5</v>
      </c>
      <c r="K172" s="223"/>
      <c r="L172" s="224"/>
      <c r="M172" s="19"/>
      <c r="N172" s="19"/>
      <c r="O172" s="19"/>
      <c r="P172" s="19"/>
      <c r="Q172" s="19"/>
    </row>
    <row r="173" spans="2:17" s="12" customFormat="1" ht="15.75">
      <c r="B173" s="225" t="s">
        <v>1021</v>
      </c>
      <c r="C173" s="218" t="s">
        <v>392</v>
      </c>
      <c r="D173" s="216" t="s">
        <v>45</v>
      </c>
      <c r="E173" s="219" t="s">
        <v>504</v>
      </c>
      <c r="F173" s="220" t="s">
        <v>1</v>
      </c>
      <c r="G173" s="221" t="s">
        <v>290</v>
      </c>
      <c r="H173" s="222">
        <v>77.63</v>
      </c>
      <c r="I173" s="360">
        <f t="shared" si="12"/>
        <v>96.98</v>
      </c>
      <c r="J173" s="360">
        <f t="shared" si="14"/>
        <v>1163.76</v>
      </c>
      <c r="K173" s="223"/>
      <c r="L173" s="224"/>
      <c r="M173" s="19"/>
      <c r="N173" s="19"/>
      <c r="O173" s="19"/>
      <c r="P173" s="19"/>
      <c r="Q173" s="19"/>
    </row>
    <row r="174" spans="2:17" s="12" customFormat="1" ht="30">
      <c r="B174" s="225" t="s">
        <v>1022</v>
      </c>
      <c r="C174" s="218" t="s">
        <v>393</v>
      </c>
      <c r="D174" s="216" t="s">
        <v>227</v>
      </c>
      <c r="E174" s="219" t="s">
        <v>399</v>
      </c>
      <c r="F174" s="220" t="s">
        <v>1</v>
      </c>
      <c r="G174" s="221" t="s">
        <v>240</v>
      </c>
      <c r="H174" s="222">
        <v>2285.22</v>
      </c>
      <c r="I174" s="360">
        <f t="shared" si="12"/>
        <v>2854.93</v>
      </c>
      <c r="J174" s="360">
        <f t="shared" si="14"/>
        <v>2854.93</v>
      </c>
      <c r="K174" s="223"/>
      <c r="L174" s="224"/>
      <c r="M174" s="19"/>
      <c r="N174" s="19"/>
      <c r="O174" s="19"/>
      <c r="P174" s="19"/>
      <c r="Q174" s="19"/>
    </row>
    <row r="175" spans="2:17" s="12" customFormat="1" ht="30">
      <c r="B175" s="225" t="s">
        <v>1023</v>
      </c>
      <c r="C175" s="218" t="s">
        <v>394</v>
      </c>
      <c r="D175" s="216" t="s">
        <v>49</v>
      </c>
      <c r="E175" s="219" t="s">
        <v>505</v>
      </c>
      <c r="F175" s="220" t="s">
        <v>1</v>
      </c>
      <c r="G175" s="221">
        <v>10</v>
      </c>
      <c r="H175" s="222">
        <v>18.79</v>
      </c>
      <c r="I175" s="360">
        <f t="shared" si="12"/>
        <v>23.47</v>
      </c>
      <c r="J175" s="360">
        <f t="shared" si="14"/>
        <v>234.7</v>
      </c>
      <c r="K175" s="223"/>
      <c r="L175" s="224"/>
      <c r="M175" s="19"/>
      <c r="N175" s="19"/>
      <c r="O175" s="19"/>
      <c r="P175" s="19"/>
      <c r="Q175" s="19"/>
    </row>
    <row r="176" spans="2:17" s="12" customFormat="1" ht="15.75">
      <c r="B176" s="225" t="s">
        <v>1024</v>
      </c>
      <c r="C176" s="218" t="s">
        <v>395</v>
      </c>
      <c r="D176" s="216" t="s">
        <v>227</v>
      </c>
      <c r="E176" s="219">
        <v>420530</v>
      </c>
      <c r="F176" s="220" t="s">
        <v>1</v>
      </c>
      <c r="G176" s="221" t="s">
        <v>279</v>
      </c>
      <c r="H176" s="222">
        <v>23.86</v>
      </c>
      <c r="I176" s="360">
        <f t="shared" si="12"/>
        <v>29.81</v>
      </c>
      <c r="J176" s="360">
        <f t="shared" si="14"/>
        <v>59.62</v>
      </c>
      <c r="K176" s="223"/>
      <c r="L176" s="224"/>
      <c r="M176" s="19"/>
      <c r="N176" s="19"/>
      <c r="O176" s="19"/>
      <c r="P176" s="19"/>
      <c r="Q176" s="19"/>
    </row>
    <row r="177" spans="2:17" s="12" customFormat="1" ht="30.75" thickBot="1">
      <c r="B177" s="225" t="s">
        <v>1025</v>
      </c>
      <c r="C177" s="218" t="s">
        <v>396</v>
      </c>
      <c r="D177" s="216" t="s">
        <v>227</v>
      </c>
      <c r="E177" s="219" t="s">
        <v>400</v>
      </c>
      <c r="F177" s="220" t="s">
        <v>1</v>
      </c>
      <c r="G177" s="221" t="s">
        <v>279</v>
      </c>
      <c r="H177" s="222">
        <v>25.33</v>
      </c>
      <c r="I177" s="360">
        <f t="shared" si="12"/>
        <v>31.64</v>
      </c>
      <c r="J177" s="360">
        <f t="shared" si="14"/>
        <v>63.28</v>
      </c>
      <c r="K177" s="223"/>
      <c r="L177" s="224"/>
      <c r="M177" s="19"/>
      <c r="N177" s="19"/>
      <c r="O177" s="19"/>
      <c r="P177" s="19"/>
      <c r="Q177" s="19"/>
    </row>
    <row r="178" spans="2:17" s="12" customFormat="1" ht="16.5" thickBot="1">
      <c r="B178" s="561" t="s">
        <v>635</v>
      </c>
      <c r="C178" s="546" t="s">
        <v>634</v>
      </c>
      <c r="D178" s="547"/>
      <c r="E178" s="562"/>
      <c r="F178" s="548"/>
      <c r="G178" s="549"/>
      <c r="H178" s="549"/>
      <c r="I178" s="549"/>
      <c r="J178" s="550"/>
      <c r="K178" s="563">
        <f>SUM(J179:J180)</f>
        <v>8202</v>
      </c>
      <c r="L178" s="552">
        <f>K178/$K$269</f>
        <v>0.012087518408154292</v>
      </c>
      <c r="M178" s="19"/>
      <c r="N178" s="19"/>
      <c r="O178" s="19"/>
      <c r="P178" s="19"/>
      <c r="Q178" s="19"/>
    </row>
    <row r="179" spans="2:17" s="12" customFormat="1" ht="30">
      <c r="B179" s="458" t="s">
        <v>136</v>
      </c>
      <c r="C179" s="457" t="s">
        <v>407</v>
      </c>
      <c r="D179" s="396" t="s">
        <v>41</v>
      </c>
      <c r="E179" s="276">
        <v>87881</v>
      </c>
      <c r="F179" s="276" t="s">
        <v>0</v>
      </c>
      <c r="G179" s="360">
        <v>268.83</v>
      </c>
      <c r="H179" s="465">
        <v>2.95</v>
      </c>
      <c r="I179" s="360">
        <f>ROUND(H179*($I$15/100+1),2)</f>
        <v>3.69</v>
      </c>
      <c r="J179" s="360">
        <f>ROUND(G179*I179,2)</f>
        <v>991.98</v>
      </c>
      <c r="K179" s="459"/>
      <c r="L179" s="373"/>
      <c r="M179" s="19"/>
      <c r="N179" s="19"/>
      <c r="O179" s="19"/>
      <c r="P179" s="19"/>
      <c r="Q179" s="19"/>
    </row>
    <row r="180" spans="2:17" s="12" customFormat="1" ht="30">
      <c r="B180" s="458" t="s">
        <v>137</v>
      </c>
      <c r="C180" s="357" t="s">
        <v>569</v>
      </c>
      <c r="D180" s="216" t="s">
        <v>45</v>
      </c>
      <c r="E180" s="216" t="s">
        <v>574</v>
      </c>
      <c r="F180" s="276" t="s">
        <v>0</v>
      </c>
      <c r="G180" s="239" t="s">
        <v>411</v>
      </c>
      <c r="H180" s="445">
        <v>21.47</v>
      </c>
      <c r="I180" s="360">
        <f>ROUND(H180*($I$15/100+1),2)</f>
        <v>26.82</v>
      </c>
      <c r="J180" s="360">
        <f>ROUND(G180*I180,2)</f>
        <v>7210.02</v>
      </c>
      <c r="K180" s="237"/>
      <c r="L180" s="238"/>
      <c r="M180" s="19"/>
      <c r="N180" s="19"/>
      <c r="O180" s="19"/>
      <c r="P180" s="19"/>
      <c r="Q180" s="19"/>
    </row>
    <row r="181" spans="2:17" s="12" customFormat="1" ht="16.5" thickBot="1">
      <c r="B181" s="586" t="s">
        <v>638</v>
      </c>
      <c r="C181" s="587" t="s">
        <v>636</v>
      </c>
      <c r="D181" s="588"/>
      <c r="E181" s="589"/>
      <c r="F181" s="590"/>
      <c r="G181" s="591"/>
      <c r="H181" s="591"/>
      <c r="I181" s="591"/>
      <c r="J181" s="592"/>
      <c r="K181" s="593">
        <f>SUM(J182:J186)</f>
        <v>43009.2</v>
      </c>
      <c r="L181" s="594">
        <f>K181/$K$269</f>
        <v>0.06338386938795289</v>
      </c>
      <c r="M181" s="19"/>
      <c r="N181" s="19"/>
      <c r="O181" s="19"/>
      <c r="P181" s="19"/>
      <c r="Q181" s="19"/>
    </row>
    <row r="182" spans="2:17" s="12" customFormat="1" ht="30">
      <c r="B182" s="356" t="s">
        <v>639</v>
      </c>
      <c r="C182" s="357" t="s">
        <v>407</v>
      </c>
      <c r="D182" s="243" t="s">
        <v>41</v>
      </c>
      <c r="E182" s="216">
        <v>87878</v>
      </c>
      <c r="F182" s="276" t="s">
        <v>0</v>
      </c>
      <c r="G182" s="239" t="s">
        <v>413</v>
      </c>
      <c r="H182" s="466">
        <v>2.75</v>
      </c>
      <c r="I182" s="360">
        <f>ROUND(H182*($I$15/100+1),2)</f>
        <v>3.44</v>
      </c>
      <c r="J182" s="360">
        <f>ROUND(G182*I182,2)</f>
        <v>2940.68</v>
      </c>
      <c r="K182" s="237"/>
      <c r="L182" s="238"/>
      <c r="M182" s="19"/>
      <c r="N182" s="19"/>
      <c r="O182" s="19"/>
      <c r="P182" s="19"/>
      <c r="Q182" s="19"/>
    </row>
    <row r="183" spans="2:17" s="12" customFormat="1" ht="30">
      <c r="B183" s="356" t="s">
        <v>640</v>
      </c>
      <c r="C183" s="395" t="s">
        <v>900</v>
      </c>
      <c r="D183" s="396" t="s">
        <v>41</v>
      </c>
      <c r="E183" s="216">
        <v>87535</v>
      </c>
      <c r="F183" s="276" t="s">
        <v>0</v>
      </c>
      <c r="G183" s="239" t="s">
        <v>414</v>
      </c>
      <c r="H183" s="239">
        <v>16.25</v>
      </c>
      <c r="I183" s="360">
        <f>ROUND(H183*($I$15/100+1),2)</f>
        <v>20.3</v>
      </c>
      <c r="J183" s="360">
        <f>ROUND(G183*I183,2)</f>
        <v>5705.72</v>
      </c>
      <c r="K183" s="237"/>
      <c r="L183" s="238"/>
      <c r="M183" s="19"/>
      <c r="N183" s="19"/>
      <c r="O183" s="19"/>
      <c r="P183" s="19"/>
      <c r="Q183" s="19"/>
    </row>
    <row r="184" spans="2:17" s="12" customFormat="1" ht="30">
      <c r="B184" s="356" t="s">
        <v>641</v>
      </c>
      <c r="C184" s="395" t="s">
        <v>571</v>
      </c>
      <c r="D184" s="396" t="s">
        <v>41</v>
      </c>
      <c r="E184" s="456" t="s">
        <v>572</v>
      </c>
      <c r="F184" s="276" t="s">
        <v>0</v>
      </c>
      <c r="G184" s="239" t="s">
        <v>415</v>
      </c>
      <c r="H184" s="239">
        <v>19.46</v>
      </c>
      <c r="I184" s="360">
        <f>ROUND(H184*($I$15/100+1),2)</f>
        <v>24.31</v>
      </c>
      <c r="J184" s="360">
        <f>ROUND(G184*I184,2)</f>
        <v>13948.59</v>
      </c>
      <c r="K184" s="237"/>
      <c r="L184" s="238"/>
      <c r="M184" s="19"/>
      <c r="N184" s="19"/>
      <c r="O184" s="19"/>
      <c r="P184" s="19"/>
      <c r="Q184" s="19"/>
    </row>
    <row r="185" spans="2:17" s="12" customFormat="1" ht="30">
      <c r="B185" s="356" t="s">
        <v>1026</v>
      </c>
      <c r="C185" s="357" t="s">
        <v>573</v>
      </c>
      <c r="D185" s="243" t="s">
        <v>129</v>
      </c>
      <c r="E185" s="216"/>
      <c r="F185" s="276" t="s">
        <v>0</v>
      </c>
      <c r="G185" s="239" t="s">
        <v>416</v>
      </c>
      <c r="H185" s="235">
        <f>'Composições de Custo'!I291</f>
        <v>56.06</v>
      </c>
      <c r="I185" s="360">
        <f>ROUND(H185*($I$15/100+1),2)</f>
        <v>70.04</v>
      </c>
      <c r="J185" s="360">
        <f>ROUND(G185*I185,2)</f>
        <v>20079.77</v>
      </c>
      <c r="K185" s="237"/>
      <c r="L185" s="238"/>
      <c r="M185" s="19"/>
      <c r="N185" s="19"/>
      <c r="O185" s="19"/>
      <c r="P185" s="19"/>
      <c r="Q185" s="19"/>
    </row>
    <row r="186" spans="2:17" s="12" customFormat="1" ht="16.5" thickBot="1">
      <c r="B186" s="356" t="s">
        <v>1027</v>
      </c>
      <c r="C186" s="208" t="s">
        <v>409</v>
      </c>
      <c r="D186" s="244" t="s">
        <v>41</v>
      </c>
      <c r="E186" s="203" t="s">
        <v>412</v>
      </c>
      <c r="F186" s="203" t="s">
        <v>33</v>
      </c>
      <c r="G186" s="204" t="s">
        <v>290</v>
      </c>
      <c r="H186" s="205">
        <v>22.31</v>
      </c>
      <c r="I186" s="202">
        <f>ROUND(H186*($I$15/100+1),2)</f>
        <v>27.87</v>
      </c>
      <c r="J186" s="202">
        <f>ROUND(G186*I186,2)</f>
        <v>334.44</v>
      </c>
      <c r="K186" s="211"/>
      <c r="L186" s="207"/>
      <c r="M186" s="19"/>
      <c r="N186" s="19"/>
      <c r="O186" s="19"/>
      <c r="P186" s="19"/>
      <c r="Q186" s="19"/>
    </row>
    <row r="187" spans="2:17" s="12" customFormat="1" ht="16.5" thickBot="1">
      <c r="B187" s="561" t="s">
        <v>642</v>
      </c>
      <c r="C187" s="546" t="s">
        <v>637</v>
      </c>
      <c r="D187" s="547"/>
      <c r="E187" s="562"/>
      <c r="F187" s="548"/>
      <c r="G187" s="549"/>
      <c r="H187" s="549"/>
      <c r="I187" s="549"/>
      <c r="J187" s="550"/>
      <c r="K187" s="563">
        <f>SUM(J188:J196)</f>
        <v>41909.15</v>
      </c>
      <c r="L187" s="552">
        <f>K187/$K$269</f>
        <v>0.06176269472020233</v>
      </c>
      <c r="M187" s="19"/>
      <c r="N187" s="19"/>
      <c r="O187" s="19"/>
      <c r="P187" s="19"/>
      <c r="Q187" s="19"/>
    </row>
    <row r="188" spans="2:17" s="12" customFormat="1" ht="30">
      <c r="B188" s="356" t="s">
        <v>419</v>
      </c>
      <c r="C188" s="457" t="s">
        <v>408</v>
      </c>
      <c r="D188" s="396" t="s">
        <v>41</v>
      </c>
      <c r="E188" s="276">
        <v>87881</v>
      </c>
      <c r="F188" s="276" t="s">
        <v>0</v>
      </c>
      <c r="G188" s="239">
        <f>'Memorial de Cálculo'!L121</f>
        <v>388.86999999999995</v>
      </c>
      <c r="H188" s="466">
        <v>2.75</v>
      </c>
      <c r="I188" s="360">
        <f aca="true" t="shared" si="15" ref="I188:I193">ROUND(H188*($I$15/100+1),2)</f>
        <v>3.44</v>
      </c>
      <c r="J188" s="360">
        <f aca="true" t="shared" si="16" ref="J188:J193">ROUND(G188*I188,2)</f>
        <v>1337.71</v>
      </c>
      <c r="K188" s="237"/>
      <c r="L188" s="238"/>
      <c r="M188" s="19"/>
      <c r="N188" s="19"/>
      <c r="O188" s="19"/>
      <c r="P188" s="19"/>
      <c r="Q188" s="19"/>
    </row>
    <row r="189" spans="2:17" s="12" customFormat="1" ht="30">
      <c r="B189" s="356" t="s">
        <v>420</v>
      </c>
      <c r="C189" s="395" t="s">
        <v>571</v>
      </c>
      <c r="D189" s="396" t="s">
        <v>41</v>
      </c>
      <c r="E189" s="456" t="s">
        <v>572</v>
      </c>
      <c r="F189" s="276" t="s">
        <v>0</v>
      </c>
      <c r="G189" s="239">
        <f>'Memorial de Cálculo'!L127</f>
        <v>196.71599999999995</v>
      </c>
      <c r="H189" s="239">
        <v>19.46</v>
      </c>
      <c r="I189" s="360">
        <f t="shared" si="15"/>
        <v>24.31</v>
      </c>
      <c r="J189" s="360">
        <f t="shared" si="16"/>
        <v>4782.17</v>
      </c>
      <c r="K189" s="237"/>
      <c r="L189" s="238"/>
      <c r="M189" s="19"/>
      <c r="N189" s="19"/>
      <c r="O189" s="19"/>
      <c r="P189" s="19"/>
      <c r="Q189" s="19"/>
    </row>
    <row r="190" spans="2:17" s="12" customFormat="1" ht="30">
      <c r="B190" s="356" t="s">
        <v>421</v>
      </c>
      <c r="C190" s="395" t="s">
        <v>570</v>
      </c>
      <c r="D190" s="396" t="s">
        <v>41</v>
      </c>
      <c r="E190" s="216">
        <v>87535</v>
      </c>
      <c r="F190" s="276" t="s">
        <v>0</v>
      </c>
      <c r="G190" s="239">
        <f>'Memorial de Cálculo'!L133</f>
        <v>192.154</v>
      </c>
      <c r="H190" s="239">
        <v>16.25</v>
      </c>
      <c r="I190" s="360">
        <f t="shared" si="15"/>
        <v>20.3</v>
      </c>
      <c r="J190" s="360">
        <f t="shared" si="16"/>
        <v>3900.73</v>
      </c>
      <c r="K190" s="237"/>
      <c r="L190" s="238"/>
      <c r="M190" s="19"/>
      <c r="N190" s="19"/>
      <c r="O190" s="19"/>
      <c r="P190" s="19"/>
      <c r="Q190" s="19"/>
    </row>
    <row r="191" spans="2:17" s="12" customFormat="1" ht="15.75">
      <c r="B191" s="356" t="s">
        <v>422</v>
      </c>
      <c r="C191" s="395" t="s">
        <v>588</v>
      </c>
      <c r="D191" s="396" t="s">
        <v>45</v>
      </c>
      <c r="E191" s="456" t="s">
        <v>902</v>
      </c>
      <c r="F191" s="276" t="s">
        <v>0</v>
      </c>
      <c r="G191" s="239">
        <f>'Memorial de Cálculo'!L137</f>
        <v>106.052</v>
      </c>
      <c r="H191" s="239">
        <v>110.56</v>
      </c>
      <c r="I191" s="360">
        <f t="shared" si="15"/>
        <v>138.12</v>
      </c>
      <c r="J191" s="360">
        <f t="shared" si="16"/>
        <v>14647.9</v>
      </c>
      <c r="K191" s="237"/>
      <c r="L191" s="238"/>
      <c r="M191" s="19"/>
      <c r="N191" s="19"/>
      <c r="O191" s="19"/>
      <c r="P191" s="19"/>
      <c r="Q191" s="19"/>
    </row>
    <row r="192" spans="2:17" s="12" customFormat="1" ht="30">
      <c r="B192" s="356" t="s">
        <v>423</v>
      </c>
      <c r="C192" s="395" t="s">
        <v>589</v>
      </c>
      <c r="D192" s="396" t="s">
        <v>45</v>
      </c>
      <c r="E192" s="456" t="s">
        <v>903</v>
      </c>
      <c r="F192" s="276" t="s">
        <v>0</v>
      </c>
      <c r="G192" s="239">
        <f>'Memorial de Cálculo'!L141</f>
        <v>80.572</v>
      </c>
      <c r="H192" s="239">
        <v>125.74</v>
      </c>
      <c r="I192" s="360">
        <f t="shared" si="15"/>
        <v>157.09</v>
      </c>
      <c r="J192" s="360">
        <f t="shared" si="16"/>
        <v>12657.06</v>
      </c>
      <c r="K192" s="237"/>
      <c r="L192" s="238"/>
      <c r="M192" s="19"/>
      <c r="N192" s="19"/>
      <c r="O192" s="19"/>
      <c r="P192" s="19"/>
      <c r="Q192" s="19"/>
    </row>
    <row r="193" spans="2:17" s="12" customFormat="1" ht="15.75">
      <c r="B193" s="356" t="s">
        <v>424</v>
      </c>
      <c r="C193" s="397" t="s">
        <v>908</v>
      </c>
      <c r="D193" s="216" t="s">
        <v>45</v>
      </c>
      <c r="E193" s="469" t="s">
        <v>835</v>
      </c>
      <c r="F193" s="216" t="s">
        <v>33</v>
      </c>
      <c r="G193" s="239">
        <f>'Memorial de Cálculo'!L152</f>
        <v>18.7</v>
      </c>
      <c r="H193" s="467">
        <v>52.43</v>
      </c>
      <c r="I193" s="360">
        <f t="shared" si="15"/>
        <v>65.5</v>
      </c>
      <c r="J193" s="360">
        <f t="shared" si="16"/>
        <v>1224.85</v>
      </c>
      <c r="K193" s="237"/>
      <c r="L193" s="238"/>
      <c r="M193" s="19"/>
      <c r="N193" s="19"/>
      <c r="O193" s="19"/>
      <c r="P193" s="19"/>
      <c r="Q193" s="19"/>
    </row>
    <row r="194" spans="2:17" s="12" customFormat="1" ht="15.75">
      <c r="B194" s="577" t="s">
        <v>1028</v>
      </c>
      <c r="C194" s="579" t="s">
        <v>508</v>
      </c>
      <c r="D194" s="580"/>
      <c r="E194" s="581"/>
      <c r="F194" s="582"/>
      <c r="G194" s="583"/>
      <c r="H194" s="584"/>
      <c r="I194" s="569"/>
      <c r="J194" s="569"/>
      <c r="K194" s="585"/>
      <c r="L194" s="573"/>
      <c r="M194" s="19"/>
      <c r="N194" s="19"/>
      <c r="O194" s="19"/>
      <c r="P194" s="19"/>
      <c r="Q194" s="19"/>
    </row>
    <row r="195" spans="2:17" s="12" customFormat="1" ht="30">
      <c r="B195" s="356" t="s">
        <v>1029</v>
      </c>
      <c r="C195" s="457" t="s">
        <v>408</v>
      </c>
      <c r="D195" s="396" t="s">
        <v>41</v>
      </c>
      <c r="E195" s="276">
        <v>87881</v>
      </c>
      <c r="F195" s="276" t="s">
        <v>0</v>
      </c>
      <c r="G195" s="239">
        <f>'Memorial de Cálculo'!L157</f>
        <v>121.0355</v>
      </c>
      <c r="H195" s="466">
        <v>2.75</v>
      </c>
      <c r="I195" s="360">
        <f>ROUND(H195*($I$15/100+1),2)</f>
        <v>3.44</v>
      </c>
      <c r="J195" s="360">
        <f>ROUND(G195*I195,2)</f>
        <v>416.36</v>
      </c>
      <c r="K195" s="237"/>
      <c r="L195" s="238"/>
      <c r="M195" s="19"/>
      <c r="N195" s="19"/>
      <c r="O195" s="19"/>
      <c r="P195" s="19"/>
      <c r="Q195" s="19"/>
    </row>
    <row r="196" spans="2:17" s="12" customFormat="1" ht="30.75" thickBot="1">
      <c r="B196" s="356" t="s">
        <v>1030</v>
      </c>
      <c r="C196" s="395" t="s">
        <v>571</v>
      </c>
      <c r="D196" s="396" t="s">
        <v>41</v>
      </c>
      <c r="E196" s="456" t="s">
        <v>572</v>
      </c>
      <c r="F196" s="276" t="s">
        <v>0</v>
      </c>
      <c r="G196" s="239">
        <f>'Memorial de Cálculo'!L161</f>
        <v>121.0355</v>
      </c>
      <c r="H196" s="239">
        <v>19.46</v>
      </c>
      <c r="I196" s="360">
        <f>ROUND(H196*($I$15/100+1),2)</f>
        <v>24.31</v>
      </c>
      <c r="J196" s="360">
        <f>ROUND(G196*I196,2)</f>
        <v>2942.37</v>
      </c>
      <c r="K196" s="237"/>
      <c r="L196" s="238"/>
      <c r="M196" s="19"/>
      <c r="N196" s="19"/>
      <c r="O196" s="19"/>
      <c r="P196" s="19"/>
      <c r="Q196" s="19"/>
    </row>
    <row r="197" spans="2:17" s="12" customFormat="1" ht="16.5" thickBot="1">
      <c r="B197" s="561" t="s">
        <v>83</v>
      </c>
      <c r="C197" s="546" t="s">
        <v>10</v>
      </c>
      <c r="D197" s="547"/>
      <c r="E197" s="562"/>
      <c r="F197" s="548"/>
      <c r="G197" s="549"/>
      <c r="H197" s="549"/>
      <c r="I197" s="549"/>
      <c r="J197" s="550"/>
      <c r="K197" s="563">
        <f>SUM(J198:J202)</f>
        <v>57310.340000000004</v>
      </c>
      <c r="L197" s="552">
        <f>K197/$K$269</f>
        <v>0.084459862195511</v>
      </c>
      <c r="M197" s="19"/>
      <c r="N197" s="19"/>
      <c r="O197" s="19"/>
      <c r="P197" s="19"/>
      <c r="Q197" s="19"/>
    </row>
    <row r="198" spans="2:17" s="12" customFormat="1" ht="30">
      <c r="B198" s="220" t="s">
        <v>643</v>
      </c>
      <c r="C198" s="397" t="s">
        <v>417</v>
      </c>
      <c r="D198" s="227" t="s">
        <v>41</v>
      </c>
      <c r="E198" s="358">
        <v>83534</v>
      </c>
      <c r="F198" s="216" t="s">
        <v>17</v>
      </c>
      <c r="G198" s="239">
        <f>'Memorial de Cálculo'!L196</f>
        <v>22.130500000000005</v>
      </c>
      <c r="H198" s="467">
        <v>391.2</v>
      </c>
      <c r="I198" s="360">
        <f>ROUND(H198*($I$15/100+1),2)</f>
        <v>488.73</v>
      </c>
      <c r="J198" s="360">
        <f>ROUND(G198*I198,2)</f>
        <v>10815.84</v>
      </c>
      <c r="K198" s="237"/>
      <c r="L198" s="238"/>
      <c r="M198" s="19"/>
      <c r="N198" s="19"/>
      <c r="O198" s="19"/>
      <c r="P198" s="19"/>
      <c r="Q198" s="19"/>
    </row>
    <row r="199" spans="2:17" s="12" customFormat="1" ht="30">
      <c r="B199" s="220" t="s">
        <v>644</v>
      </c>
      <c r="C199" s="397" t="s">
        <v>418</v>
      </c>
      <c r="D199" s="468" t="s">
        <v>45</v>
      </c>
      <c r="E199" s="469" t="s">
        <v>580</v>
      </c>
      <c r="F199" s="216" t="s">
        <v>0</v>
      </c>
      <c r="G199" s="239">
        <f>'Memorial de Cálculo'!L230</f>
        <v>316.15</v>
      </c>
      <c r="H199" s="467">
        <v>16.62</v>
      </c>
      <c r="I199" s="360">
        <f>ROUND(H199*($I$15/100+1),2)</f>
        <v>20.76</v>
      </c>
      <c r="J199" s="360">
        <f>ROUND(G199*I199,2)</f>
        <v>6563.27</v>
      </c>
      <c r="K199" s="470"/>
      <c r="L199" s="238"/>
      <c r="M199" s="19"/>
      <c r="N199" s="19"/>
      <c r="O199" s="19"/>
      <c r="P199" s="19"/>
      <c r="Q199" s="19"/>
    </row>
    <row r="200" spans="2:17" s="12" customFormat="1" ht="30">
      <c r="B200" s="220" t="s">
        <v>645</v>
      </c>
      <c r="C200" s="397" t="s">
        <v>518</v>
      </c>
      <c r="D200" s="468" t="s">
        <v>49</v>
      </c>
      <c r="E200" s="471" t="s">
        <v>581</v>
      </c>
      <c r="F200" s="216" t="s">
        <v>0</v>
      </c>
      <c r="G200" s="239">
        <f>'Memorial de Cálculo'!L264</f>
        <v>316.15</v>
      </c>
      <c r="H200" s="467">
        <v>89.64</v>
      </c>
      <c r="I200" s="360">
        <f>ROUND(H200*($I$15/100+1),2)</f>
        <v>111.99</v>
      </c>
      <c r="J200" s="360">
        <f>ROUND(G200*I200,2)</f>
        <v>35405.64</v>
      </c>
      <c r="K200" s="470"/>
      <c r="L200" s="238"/>
      <c r="M200" s="19"/>
      <c r="N200" s="19"/>
      <c r="O200" s="19"/>
      <c r="P200" s="19"/>
      <c r="Q200" s="19"/>
    </row>
    <row r="201" spans="2:17" s="12" customFormat="1" ht="15.75">
      <c r="B201" s="220" t="s">
        <v>646</v>
      </c>
      <c r="C201" s="397" t="s">
        <v>904</v>
      </c>
      <c r="D201" s="468" t="s">
        <v>49</v>
      </c>
      <c r="E201" s="471" t="s">
        <v>582</v>
      </c>
      <c r="F201" s="216" t="s">
        <v>0</v>
      </c>
      <c r="G201" s="239">
        <f>152.04*0.15</f>
        <v>22.805999999999997</v>
      </c>
      <c r="H201" s="467">
        <v>89.64</v>
      </c>
      <c r="I201" s="360">
        <f>ROUND(H201*($I$15/100+1),2)</f>
        <v>111.99</v>
      </c>
      <c r="J201" s="360">
        <f>ROUND(G201*I201,2)</f>
        <v>2554.04</v>
      </c>
      <c r="K201" s="470"/>
      <c r="L201" s="238"/>
      <c r="M201" s="19"/>
      <c r="N201" s="19"/>
      <c r="O201" s="19"/>
      <c r="P201" s="19"/>
      <c r="Q201" s="19"/>
    </row>
    <row r="202" spans="2:17" s="12" customFormat="1" ht="16.5" thickBot="1">
      <c r="B202" s="220" t="s">
        <v>647</v>
      </c>
      <c r="C202" s="397" t="s">
        <v>836</v>
      </c>
      <c r="D202" s="216" t="s">
        <v>45</v>
      </c>
      <c r="E202" s="469" t="s">
        <v>835</v>
      </c>
      <c r="F202" s="216" t="s">
        <v>33</v>
      </c>
      <c r="G202" s="239">
        <f>'Memorial de Cálculo'!L292</f>
        <v>30.100000000000012</v>
      </c>
      <c r="H202" s="467">
        <v>52.43</v>
      </c>
      <c r="I202" s="360">
        <f>ROUND(H202*($I$15/100+1),2)</f>
        <v>65.5</v>
      </c>
      <c r="J202" s="360">
        <f>ROUND(G202*I202,2)</f>
        <v>1971.55</v>
      </c>
      <c r="K202" s="470"/>
      <c r="L202" s="238"/>
      <c r="M202" s="19"/>
      <c r="N202" s="19"/>
      <c r="O202" s="19"/>
      <c r="P202" s="19"/>
      <c r="Q202" s="19"/>
    </row>
    <row r="203" spans="2:17" s="12" customFormat="1" ht="16.5" thickBot="1">
      <c r="B203" s="561" t="s">
        <v>138</v>
      </c>
      <c r="C203" s="546" t="s">
        <v>673</v>
      </c>
      <c r="D203" s="547"/>
      <c r="E203" s="562"/>
      <c r="F203" s="548"/>
      <c r="G203" s="549"/>
      <c r="H203" s="549"/>
      <c r="I203" s="549"/>
      <c r="J203" s="550"/>
      <c r="K203" s="563">
        <f>SUM(J204:J205)</f>
        <v>9712.22</v>
      </c>
      <c r="L203" s="552">
        <f>K203/$K$269</f>
        <v>0.01431317215728411</v>
      </c>
      <c r="M203" s="19"/>
      <c r="N203" s="19"/>
      <c r="O203" s="19"/>
      <c r="P203" s="19"/>
      <c r="Q203" s="19"/>
    </row>
    <row r="204" spans="2:17" s="12" customFormat="1" ht="15.75">
      <c r="B204" s="216" t="s">
        <v>648</v>
      </c>
      <c r="C204" s="464" t="s">
        <v>525</v>
      </c>
      <c r="D204" s="243" t="s">
        <v>41</v>
      </c>
      <c r="E204" s="243">
        <v>72118</v>
      </c>
      <c r="F204" s="216" t="s">
        <v>0</v>
      </c>
      <c r="G204" s="461">
        <f>'Memorial de Cálculo'!L298</f>
        <v>44.370000000000005</v>
      </c>
      <c r="H204" s="462">
        <v>154.16</v>
      </c>
      <c r="I204" s="360">
        <f>ROUND(H204*($I$15/100+1),2)</f>
        <v>192.59</v>
      </c>
      <c r="J204" s="360">
        <f>ROUND(G204*I204,2)</f>
        <v>8545.22</v>
      </c>
      <c r="K204" s="237"/>
      <c r="L204" s="463"/>
      <c r="M204" s="19"/>
      <c r="N204" s="19"/>
      <c r="O204" s="19"/>
      <c r="P204" s="19"/>
      <c r="Q204" s="19"/>
    </row>
    <row r="205" spans="2:17" s="12" customFormat="1" ht="30.75" thickBot="1">
      <c r="B205" s="216" t="s">
        <v>649</v>
      </c>
      <c r="C205" s="464" t="s">
        <v>526</v>
      </c>
      <c r="D205" s="243" t="s">
        <v>41</v>
      </c>
      <c r="E205" s="243">
        <v>72120</v>
      </c>
      <c r="F205" s="216" t="s">
        <v>0</v>
      </c>
      <c r="G205" s="461">
        <f>'Memorial de Cálculo'!L302</f>
        <v>3.75</v>
      </c>
      <c r="H205" s="462">
        <v>249.1</v>
      </c>
      <c r="I205" s="360">
        <f>ROUND(H205*($I$15/100+1),2)</f>
        <v>311.2</v>
      </c>
      <c r="J205" s="360">
        <f>ROUND(G205*I205,2)</f>
        <v>1167</v>
      </c>
      <c r="K205" s="237"/>
      <c r="L205" s="463"/>
      <c r="M205" s="19"/>
      <c r="N205" s="19"/>
      <c r="O205" s="19"/>
      <c r="P205" s="19"/>
      <c r="Q205" s="19"/>
    </row>
    <row r="206" spans="2:17" s="12" customFormat="1" ht="16.5" thickBot="1">
      <c r="B206" s="561" t="s">
        <v>139</v>
      </c>
      <c r="C206" s="546" t="s">
        <v>11</v>
      </c>
      <c r="D206" s="547"/>
      <c r="E206" s="562"/>
      <c r="F206" s="548"/>
      <c r="G206" s="549"/>
      <c r="H206" s="549"/>
      <c r="I206" s="549"/>
      <c r="J206" s="550"/>
      <c r="K206" s="563">
        <f>SUM(J207:J214)</f>
        <v>37142.15000000001</v>
      </c>
      <c r="L206" s="552">
        <f>K206/$K$269</f>
        <v>0.054737432558330655</v>
      </c>
      <c r="M206" s="19"/>
      <c r="N206" s="19"/>
      <c r="O206" s="19"/>
      <c r="P206" s="19"/>
      <c r="Q206" s="19"/>
    </row>
    <row r="207" spans="2:17" s="12" customFormat="1" ht="15.75">
      <c r="B207" s="203" t="s">
        <v>650</v>
      </c>
      <c r="C207" s="242" t="s">
        <v>527</v>
      </c>
      <c r="D207" s="244" t="s">
        <v>41</v>
      </c>
      <c r="E207" s="244">
        <v>88415</v>
      </c>
      <c r="F207" s="241" t="s">
        <v>0</v>
      </c>
      <c r="G207" s="245">
        <f>'Memorial de Cálculo'!L342</f>
        <v>1214.3090000000004</v>
      </c>
      <c r="H207" s="389">
        <v>1.7</v>
      </c>
      <c r="I207" s="202">
        <f>ROUND(H207*($I$15/100+1),2)</f>
        <v>2.12</v>
      </c>
      <c r="J207" s="202">
        <f>ROUND(G207*I207,2)</f>
        <v>2574.34</v>
      </c>
      <c r="K207" s="211"/>
      <c r="L207" s="207"/>
      <c r="M207" s="19"/>
      <c r="N207" s="19"/>
      <c r="O207" s="19"/>
      <c r="P207" s="19"/>
      <c r="Q207" s="19"/>
    </row>
    <row r="208" spans="2:17" s="12" customFormat="1" ht="15.75">
      <c r="B208" s="203" t="s">
        <v>651</v>
      </c>
      <c r="C208" s="383" t="s">
        <v>528</v>
      </c>
      <c r="D208" s="244" t="s">
        <v>41</v>
      </c>
      <c r="E208" s="384">
        <v>88497</v>
      </c>
      <c r="F208" s="241" t="s">
        <v>0</v>
      </c>
      <c r="G208" s="382">
        <f>'Memorial de Cálculo'!L367</f>
        <v>710.7000000000002</v>
      </c>
      <c r="H208" s="389">
        <v>8.58</v>
      </c>
      <c r="I208" s="202">
        <f aca="true" t="shared" si="17" ref="I208:I213">ROUND(H208*($I$15/100+1),2)</f>
        <v>10.72</v>
      </c>
      <c r="J208" s="202">
        <f aca="true" t="shared" si="18" ref="J208:J213">ROUND(G208*I208,2)</f>
        <v>7618.7</v>
      </c>
      <c r="K208" s="211"/>
      <c r="L208" s="207"/>
      <c r="M208" s="19"/>
      <c r="N208" s="19"/>
      <c r="O208" s="19"/>
      <c r="P208" s="19"/>
      <c r="Q208" s="19"/>
    </row>
    <row r="209" spans="2:17" s="12" customFormat="1" ht="30">
      <c r="B209" s="203" t="s">
        <v>652</v>
      </c>
      <c r="C209" s="455" t="s">
        <v>906</v>
      </c>
      <c r="D209" s="243" t="s">
        <v>45</v>
      </c>
      <c r="E209" s="243" t="s">
        <v>905</v>
      </c>
      <c r="F209" s="276" t="s">
        <v>0</v>
      </c>
      <c r="G209" s="689">
        <f>'Memorial de Cálculo'!L392</f>
        <v>710.7000000000002</v>
      </c>
      <c r="H209" s="690">
        <v>11.3</v>
      </c>
      <c r="I209" s="360">
        <f t="shared" si="17"/>
        <v>14.12</v>
      </c>
      <c r="J209" s="360">
        <f t="shared" si="18"/>
        <v>10035.08</v>
      </c>
      <c r="K209" s="237"/>
      <c r="L209" s="238"/>
      <c r="M209" s="19"/>
      <c r="N209" s="19"/>
      <c r="O209" s="19"/>
      <c r="P209" s="19"/>
      <c r="Q209" s="19"/>
    </row>
    <row r="210" spans="2:17" s="12" customFormat="1" ht="15.75">
      <c r="B210" s="203" t="s">
        <v>1031</v>
      </c>
      <c r="C210" s="386" t="s">
        <v>530</v>
      </c>
      <c r="D210" s="244" t="s">
        <v>41</v>
      </c>
      <c r="E210" s="387">
        <v>88482</v>
      </c>
      <c r="F210" s="241" t="s">
        <v>0</v>
      </c>
      <c r="G210" s="382">
        <f>'Memorial de Cálculo'!L413</f>
        <v>148.76</v>
      </c>
      <c r="H210" s="389">
        <v>1.66</v>
      </c>
      <c r="I210" s="202">
        <f t="shared" si="17"/>
        <v>2.07</v>
      </c>
      <c r="J210" s="202">
        <f t="shared" si="18"/>
        <v>307.93</v>
      </c>
      <c r="K210" s="211"/>
      <c r="L210" s="207"/>
      <c r="M210" s="19"/>
      <c r="N210" s="19"/>
      <c r="O210" s="19"/>
      <c r="P210" s="19"/>
      <c r="Q210" s="19"/>
    </row>
    <row r="211" spans="2:17" ht="18" customHeight="1">
      <c r="B211" s="203" t="s">
        <v>1032</v>
      </c>
      <c r="C211" s="386" t="s">
        <v>531</v>
      </c>
      <c r="D211" s="243" t="s">
        <v>41</v>
      </c>
      <c r="E211" s="388">
        <v>88496</v>
      </c>
      <c r="F211" s="241" t="s">
        <v>0</v>
      </c>
      <c r="G211" s="202">
        <f>'Memorial de Cálculo'!L437</f>
        <v>253.16999999999996</v>
      </c>
      <c r="H211" s="389">
        <v>14.57</v>
      </c>
      <c r="I211" s="202">
        <f t="shared" si="17"/>
        <v>18.2</v>
      </c>
      <c r="J211" s="202">
        <f t="shared" si="18"/>
        <v>4607.69</v>
      </c>
      <c r="K211" s="211"/>
      <c r="L211" s="207"/>
      <c r="M211" s="19"/>
      <c r="N211" s="19"/>
      <c r="O211" s="19"/>
      <c r="P211" s="19"/>
      <c r="Q211" s="19"/>
    </row>
    <row r="212" spans="2:17" ht="30">
      <c r="B212" s="203" t="s">
        <v>1033</v>
      </c>
      <c r="C212" s="386" t="s">
        <v>532</v>
      </c>
      <c r="D212" s="243" t="s">
        <v>41</v>
      </c>
      <c r="E212" s="388">
        <v>88486</v>
      </c>
      <c r="F212" s="241" t="s">
        <v>0</v>
      </c>
      <c r="G212" s="202">
        <f>'Memorial de Cálculo'!L461</f>
        <v>253.16999999999996</v>
      </c>
      <c r="H212" s="382">
        <v>7.19</v>
      </c>
      <c r="I212" s="202">
        <f t="shared" si="17"/>
        <v>8.98</v>
      </c>
      <c r="J212" s="202">
        <f t="shared" si="18"/>
        <v>2273.47</v>
      </c>
      <c r="K212" s="211"/>
      <c r="L212" s="207"/>
      <c r="M212" s="19"/>
      <c r="N212" s="19"/>
      <c r="O212" s="19"/>
      <c r="P212" s="19"/>
      <c r="Q212" s="19"/>
    </row>
    <row r="213" spans="2:17" ht="30">
      <c r="B213" s="203" t="s">
        <v>1034</v>
      </c>
      <c r="C213" s="326" t="s">
        <v>533</v>
      </c>
      <c r="D213" s="244" t="s">
        <v>41</v>
      </c>
      <c r="E213" s="385">
        <v>88431</v>
      </c>
      <c r="F213" s="203" t="s">
        <v>0</v>
      </c>
      <c r="G213" s="204">
        <f>'Memorial de Cálculo'!L476</f>
        <v>503.609</v>
      </c>
      <c r="H213" s="245">
        <v>13.83</v>
      </c>
      <c r="I213" s="202">
        <f t="shared" si="17"/>
        <v>17.28</v>
      </c>
      <c r="J213" s="202">
        <f t="shared" si="18"/>
        <v>8702.36</v>
      </c>
      <c r="K213" s="211"/>
      <c r="L213" s="207"/>
      <c r="M213" s="19"/>
      <c r="N213" s="19"/>
      <c r="O213" s="19"/>
      <c r="P213" s="19"/>
      <c r="Q213" s="19"/>
    </row>
    <row r="214" spans="2:17" ht="29.25" customHeight="1" thickBot="1">
      <c r="B214" s="203" t="s">
        <v>1035</v>
      </c>
      <c r="C214" s="324" t="s">
        <v>852</v>
      </c>
      <c r="D214" s="243" t="s">
        <v>41</v>
      </c>
      <c r="E214" s="385" t="s">
        <v>851</v>
      </c>
      <c r="F214" s="203" t="s">
        <v>0</v>
      </c>
      <c r="G214" s="204">
        <f>'Memorial de Cálculo'!L485</f>
        <v>49.64000000000001</v>
      </c>
      <c r="H214" s="205">
        <v>16.49</v>
      </c>
      <c r="I214" s="202">
        <f>ROUND(H214*($I$15/100+1),2)</f>
        <v>20.6</v>
      </c>
      <c r="J214" s="202">
        <f>ROUND(G214*I214,2)</f>
        <v>1022.58</v>
      </c>
      <c r="K214" s="211"/>
      <c r="L214" s="207"/>
      <c r="M214" s="19"/>
      <c r="N214" s="19"/>
      <c r="O214" s="19"/>
      <c r="P214" s="19"/>
      <c r="Q214" s="19"/>
    </row>
    <row r="215" spans="2:17" ht="16.5" thickBot="1">
      <c r="B215" s="561" t="s">
        <v>565</v>
      </c>
      <c r="C215" s="546" t="s">
        <v>446</v>
      </c>
      <c r="D215" s="547"/>
      <c r="E215" s="562"/>
      <c r="F215" s="548"/>
      <c r="G215" s="549"/>
      <c r="H215" s="549"/>
      <c r="I215" s="549"/>
      <c r="J215" s="550"/>
      <c r="K215" s="563">
        <f>SUM(J216:J230)</f>
        <v>4765.63</v>
      </c>
      <c r="L215" s="552">
        <f>K215/$K$269</f>
        <v>0.007023243154285826</v>
      </c>
      <c r="M215" s="19"/>
      <c r="N215" s="19"/>
      <c r="O215" s="19"/>
      <c r="P215" s="19"/>
      <c r="Q215" s="19"/>
    </row>
    <row r="216" spans="2:17" ht="30">
      <c r="B216" s="276" t="s">
        <v>653</v>
      </c>
      <c r="C216" s="629" t="s">
        <v>417</v>
      </c>
      <c r="D216" s="396" t="s">
        <v>41</v>
      </c>
      <c r="E216" s="609">
        <v>83534</v>
      </c>
      <c r="F216" s="276" t="s">
        <v>0</v>
      </c>
      <c r="G216" s="360">
        <f>3.12*0.07</f>
        <v>0.21840000000000004</v>
      </c>
      <c r="H216" s="360">
        <v>391.2</v>
      </c>
      <c r="I216" s="360">
        <f>ROUND(H216*($I$15/100+1),2)</f>
        <v>488.73</v>
      </c>
      <c r="J216" s="360">
        <f aca="true" t="shared" si="19" ref="J216:J221">ROUND(G216*I216,2)</f>
        <v>106.74</v>
      </c>
      <c r="K216" s="686"/>
      <c r="L216" s="373"/>
      <c r="M216" s="19"/>
      <c r="N216" s="19"/>
      <c r="O216" s="19"/>
      <c r="P216" s="19"/>
      <c r="Q216" s="19"/>
    </row>
    <row r="217" spans="2:17" ht="15.75">
      <c r="B217" s="276" t="s">
        <v>654</v>
      </c>
      <c r="C217" s="395" t="s">
        <v>429</v>
      </c>
      <c r="D217" s="396" t="s">
        <v>129</v>
      </c>
      <c r="E217" s="472"/>
      <c r="F217" s="216" t="s">
        <v>0</v>
      </c>
      <c r="G217" s="239" t="s">
        <v>437</v>
      </c>
      <c r="H217" s="239">
        <f>'Composições de Custo'!I257</f>
        <v>36.44</v>
      </c>
      <c r="I217" s="360">
        <f aca="true" t="shared" si="20" ref="I217:I230">ROUND(H217*($I$15/100+1),2)</f>
        <v>45.52</v>
      </c>
      <c r="J217" s="239">
        <f t="shared" si="19"/>
        <v>584.48</v>
      </c>
      <c r="K217" s="247"/>
      <c r="L217" s="238"/>
      <c r="M217" s="19"/>
      <c r="N217" s="19"/>
      <c r="O217" s="19"/>
      <c r="P217" s="19"/>
      <c r="Q217" s="19"/>
    </row>
    <row r="218" spans="2:17" ht="30">
      <c r="B218" s="276" t="s">
        <v>655</v>
      </c>
      <c r="C218" s="395" t="s">
        <v>407</v>
      </c>
      <c r="D218" s="396" t="s">
        <v>41</v>
      </c>
      <c r="E218" s="472" t="s">
        <v>410</v>
      </c>
      <c r="F218" s="216" t="s">
        <v>0</v>
      </c>
      <c r="G218" s="239" t="s">
        <v>438</v>
      </c>
      <c r="H218" s="239">
        <v>2.95</v>
      </c>
      <c r="I218" s="360">
        <f t="shared" si="20"/>
        <v>3.69</v>
      </c>
      <c r="J218" s="239">
        <f t="shared" si="19"/>
        <v>71.22</v>
      </c>
      <c r="K218" s="247"/>
      <c r="L218" s="238"/>
      <c r="M218" s="19"/>
      <c r="N218" s="19"/>
      <c r="O218" s="19"/>
      <c r="P218" s="19"/>
      <c r="Q218" s="19"/>
    </row>
    <row r="219" spans="2:17" ht="30">
      <c r="B219" s="276" t="s">
        <v>656</v>
      </c>
      <c r="C219" s="395" t="s">
        <v>900</v>
      </c>
      <c r="D219" s="396" t="s">
        <v>41</v>
      </c>
      <c r="E219" s="216">
        <v>87535</v>
      </c>
      <c r="F219" s="216" t="s">
        <v>0</v>
      </c>
      <c r="G219" s="239" t="s">
        <v>439</v>
      </c>
      <c r="H219" s="239">
        <v>16.25</v>
      </c>
      <c r="I219" s="360">
        <f t="shared" si="20"/>
        <v>20.3</v>
      </c>
      <c r="J219" s="239">
        <f t="shared" si="19"/>
        <v>102.72</v>
      </c>
      <c r="K219" s="247"/>
      <c r="L219" s="238"/>
      <c r="M219" s="19"/>
      <c r="N219" s="19"/>
      <c r="O219" s="19"/>
      <c r="P219" s="19"/>
      <c r="Q219" s="19"/>
    </row>
    <row r="220" spans="2:17" ht="30">
      <c r="B220" s="276" t="s">
        <v>657</v>
      </c>
      <c r="C220" s="395" t="s">
        <v>571</v>
      </c>
      <c r="D220" s="396" t="s">
        <v>41</v>
      </c>
      <c r="E220" s="456" t="s">
        <v>572</v>
      </c>
      <c r="F220" s="216" t="s">
        <v>0</v>
      </c>
      <c r="G220" s="239" t="s">
        <v>440</v>
      </c>
      <c r="H220" s="239">
        <v>19.46</v>
      </c>
      <c r="I220" s="360">
        <f t="shared" si="20"/>
        <v>24.31</v>
      </c>
      <c r="J220" s="239">
        <f t="shared" si="19"/>
        <v>346.17</v>
      </c>
      <c r="K220" s="247"/>
      <c r="L220" s="238"/>
      <c r="M220" s="19"/>
      <c r="N220" s="19"/>
      <c r="O220" s="19"/>
      <c r="P220" s="19"/>
      <c r="Q220" s="19"/>
    </row>
    <row r="221" spans="2:12" ht="30">
      <c r="B221" s="276" t="s">
        <v>658</v>
      </c>
      <c r="C221" s="395" t="s">
        <v>573</v>
      </c>
      <c r="D221" s="396" t="s">
        <v>129</v>
      </c>
      <c r="E221" s="472"/>
      <c r="F221" s="216" t="s">
        <v>0</v>
      </c>
      <c r="G221" s="239" t="s">
        <v>439</v>
      </c>
      <c r="H221" s="239">
        <f>'Composições de Custo'!I291</f>
        <v>56.06</v>
      </c>
      <c r="I221" s="360">
        <f t="shared" si="20"/>
        <v>70.04</v>
      </c>
      <c r="J221" s="239">
        <f t="shared" si="19"/>
        <v>354.4</v>
      </c>
      <c r="K221" s="247"/>
      <c r="L221" s="238"/>
    </row>
    <row r="222" spans="2:12" ht="15.75">
      <c r="B222" s="577" t="s">
        <v>659</v>
      </c>
      <c r="C222" s="579" t="s">
        <v>430</v>
      </c>
      <c r="D222" s="580"/>
      <c r="E222" s="581"/>
      <c r="F222" s="582"/>
      <c r="G222" s="583"/>
      <c r="H222" s="584"/>
      <c r="I222" s="569"/>
      <c r="J222" s="569"/>
      <c r="K222" s="585"/>
      <c r="L222" s="573"/>
    </row>
    <row r="223" spans="2:12" ht="60">
      <c r="B223" s="203" t="s">
        <v>1036</v>
      </c>
      <c r="C223" s="348" t="s">
        <v>261</v>
      </c>
      <c r="D223" s="347" t="s">
        <v>41</v>
      </c>
      <c r="E223" s="349">
        <v>84217</v>
      </c>
      <c r="F223" s="203" t="s">
        <v>0</v>
      </c>
      <c r="G223" s="239" t="s">
        <v>441</v>
      </c>
      <c r="H223" s="239">
        <v>51.29</v>
      </c>
      <c r="I223" s="202">
        <f t="shared" si="20"/>
        <v>64.08</v>
      </c>
      <c r="J223" s="204">
        <f aca="true" t="shared" si="21" ref="J223:J230">ROUND(G223*I223,2)</f>
        <v>365.26</v>
      </c>
      <c r="K223" s="247"/>
      <c r="L223" s="238"/>
    </row>
    <row r="224" spans="2:12" ht="18" customHeight="1">
      <c r="B224" s="203" t="s">
        <v>1037</v>
      </c>
      <c r="C224" s="348" t="s">
        <v>431</v>
      </c>
      <c r="D224" s="347" t="s">
        <v>41</v>
      </c>
      <c r="E224" s="349" t="s">
        <v>435</v>
      </c>
      <c r="F224" s="203" t="s">
        <v>140</v>
      </c>
      <c r="G224" s="239" t="s">
        <v>442</v>
      </c>
      <c r="H224" s="239">
        <v>6.66</v>
      </c>
      <c r="I224" s="202">
        <f t="shared" si="20"/>
        <v>8.32</v>
      </c>
      <c r="J224" s="204">
        <f t="shared" si="21"/>
        <v>5.99</v>
      </c>
      <c r="K224" s="247"/>
      <c r="L224" s="238"/>
    </row>
    <row r="225" spans="2:12" ht="30">
      <c r="B225" s="203" t="s">
        <v>1038</v>
      </c>
      <c r="C225" s="348" t="s">
        <v>432</v>
      </c>
      <c r="D225" s="347" t="s">
        <v>41</v>
      </c>
      <c r="E225" s="349" t="s">
        <v>252</v>
      </c>
      <c r="F225" s="203" t="s">
        <v>17</v>
      </c>
      <c r="G225" s="239" t="s">
        <v>443</v>
      </c>
      <c r="H225" s="239">
        <v>461.77</v>
      </c>
      <c r="I225" s="202">
        <f t="shared" si="20"/>
        <v>576.89</v>
      </c>
      <c r="J225" s="204">
        <f t="shared" si="21"/>
        <v>190.37</v>
      </c>
      <c r="K225" s="247"/>
      <c r="L225" s="238"/>
    </row>
    <row r="226" spans="2:12" ht="15.75">
      <c r="B226" s="203" t="s">
        <v>1039</v>
      </c>
      <c r="C226" s="242" t="s">
        <v>527</v>
      </c>
      <c r="D226" s="244" t="s">
        <v>41</v>
      </c>
      <c r="E226" s="244">
        <v>88415</v>
      </c>
      <c r="F226" s="203" t="s">
        <v>0</v>
      </c>
      <c r="G226" s="239">
        <v>14.24</v>
      </c>
      <c r="H226" s="389">
        <v>1.7</v>
      </c>
      <c r="I226" s="202">
        <f t="shared" si="20"/>
        <v>2.12</v>
      </c>
      <c r="J226" s="204">
        <f t="shared" si="21"/>
        <v>30.19</v>
      </c>
      <c r="K226" s="247"/>
      <c r="L226" s="238"/>
    </row>
    <row r="227" spans="2:12" ht="15.75">
      <c r="B227" s="203" t="s">
        <v>1040</v>
      </c>
      <c r="C227" s="383" t="s">
        <v>528</v>
      </c>
      <c r="D227" s="244" t="s">
        <v>41</v>
      </c>
      <c r="E227" s="384">
        <v>88497</v>
      </c>
      <c r="F227" s="203" t="s">
        <v>0</v>
      </c>
      <c r="G227" s="239">
        <v>14.24</v>
      </c>
      <c r="H227" s="389">
        <v>8.58</v>
      </c>
      <c r="I227" s="202">
        <f t="shared" si="20"/>
        <v>10.72</v>
      </c>
      <c r="J227" s="204">
        <f t="shared" si="21"/>
        <v>152.65</v>
      </c>
      <c r="K227" s="247"/>
      <c r="L227" s="238"/>
    </row>
    <row r="228" spans="2:12" ht="30">
      <c r="B228" s="203" t="s">
        <v>1041</v>
      </c>
      <c r="C228" s="326" t="s">
        <v>529</v>
      </c>
      <c r="D228" s="244" t="s">
        <v>41</v>
      </c>
      <c r="E228" s="385">
        <v>88489</v>
      </c>
      <c r="F228" s="203" t="s">
        <v>0</v>
      </c>
      <c r="G228" s="239" t="s">
        <v>440</v>
      </c>
      <c r="H228" s="389">
        <v>8.16</v>
      </c>
      <c r="I228" s="202">
        <f t="shared" si="20"/>
        <v>10.19</v>
      </c>
      <c r="J228" s="204">
        <f t="shared" si="21"/>
        <v>145.11</v>
      </c>
      <c r="K228" s="247"/>
      <c r="L228" s="238"/>
    </row>
    <row r="229" spans="2:12" ht="15.75">
      <c r="B229" s="203" t="s">
        <v>1042</v>
      </c>
      <c r="C229" s="324" t="s">
        <v>433</v>
      </c>
      <c r="D229" s="244" t="s">
        <v>41</v>
      </c>
      <c r="E229" s="201" t="s">
        <v>436</v>
      </c>
      <c r="F229" s="203" t="s">
        <v>0</v>
      </c>
      <c r="G229" s="204" t="s">
        <v>444</v>
      </c>
      <c r="H229" s="205">
        <v>207.39</v>
      </c>
      <c r="I229" s="202">
        <f t="shared" si="20"/>
        <v>259.09</v>
      </c>
      <c r="J229" s="204">
        <f t="shared" si="21"/>
        <v>1834.36</v>
      </c>
      <c r="K229" s="211"/>
      <c r="L229" s="207"/>
    </row>
    <row r="230" spans="2:12" ht="18" customHeight="1" thickBot="1">
      <c r="B230" s="203" t="s">
        <v>1043</v>
      </c>
      <c r="C230" s="324" t="s">
        <v>434</v>
      </c>
      <c r="D230" s="244" t="s">
        <v>41</v>
      </c>
      <c r="E230" s="201">
        <v>6067</v>
      </c>
      <c r="F230" s="203" t="s">
        <v>0</v>
      </c>
      <c r="G230" s="204" t="s">
        <v>445</v>
      </c>
      <c r="H230" s="205">
        <v>24.45</v>
      </c>
      <c r="I230" s="202">
        <f t="shared" si="20"/>
        <v>30.55</v>
      </c>
      <c r="J230" s="204">
        <f t="shared" si="21"/>
        <v>475.97</v>
      </c>
      <c r="K230" s="211"/>
      <c r="L230" s="207"/>
    </row>
    <row r="231" spans="2:12" ht="18" customHeight="1" thickBot="1">
      <c r="B231" s="561" t="s">
        <v>660</v>
      </c>
      <c r="C231" s="546" t="s">
        <v>135</v>
      </c>
      <c r="D231" s="547"/>
      <c r="E231" s="562"/>
      <c r="F231" s="548"/>
      <c r="G231" s="549"/>
      <c r="H231" s="549"/>
      <c r="I231" s="549"/>
      <c r="J231" s="550"/>
      <c r="K231" s="563">
        <f>SUM(J233:J250)</f>
        <v>15035.53</v>
      </c>
      <c r="L231" s="552">
        <f>K231/$K$269</f>
        <v>0.0221582840345472</v>
      </c>
    </row>
    <row r="232" spans="2:12" ht="18" customHeight="1">
      <c r="B232" s="577" t="s">
        <v>661</v>
      </c>
      <c r="C232" s="579" t="s">
        <v>455</v>
      </c>
      <c r="D232" s="580"/>
      <c r="E232" s="581"/>
      <c r="F232" s="582"/>
      <c r="G232" s="583"/>
      <c r="H232" s="584"/>
      <c r="I232" s="569"/>
      <c r="J232" s="569"/>
      <c r="K232" s="585"/>
      <c r="L232" s="573"/>
    </row>
    <row r="233" spans="2:12" ht="18" customHeight="1">
      <c r="B233" s="366" t="s">
        <v>1044</v>
      </c>
      <c r="C233" s="473" t="s">
        <v>447</v>
      </c>
      <c r="D233" s="368" t="s">
        <v>227</v>
      </c>
      <c r="E233" s="474">
        <v>461001</v>
      </c>
      <c r="F233" s="475" t="s">
        <v>33</v>
      </c>
      <c r="G233" s="476" t="s">
        <v>458</v>
      </c>
      <c r="H233" s="477">
        <v>35.42</v>
      </c>
      <c r="I233" s="360">
        <f aca="true" t="shared" si="22" ref="I233:I250">ROUND(H233*($I$15/100+1),2)</f>
        <v>44.25</v>
      </c>
      <c r="J233" s="360">
        <f>ROUND(G233*I233,2)</f>
        <v>4203.75</v>
      </c>
      <c r="K233" s="459"/>
      <c r="L233" s="373"/>
    </row>
    <row r="234" spans="2:12" ht="18" customHeight="1">
      <c r="B234" s="366" t="s">
        <v>1045</v>
      </c>
      <c r="C234" s="478" t="s">
        <v>448</v>
      </c>
      <c r="D234" s="227" t="s">
        <v>227</v>
      </c>
      <c r="E234" s="479" t="s">
        <v>578</v>
      </c>
      <c r="F234" s="475" t="s">
        <v>33</v>
      </c>
      <c r="G234" s="480" t="s">
        <v>339</v>
      </c>
      <c r="H234" s="481">
        <v>50.98</v>
      </c>
      <c r="I234" s="360">
        <f t="shared" si="22"/>
        <v>63.69</v>
      </c>
      <c r="J234" s="360">
        <f>ROUND(G234*I234,2)</f>
        <v>955.35</v>
      </c>
      <c r="K234" s="459"/>
      <c r="L234" s="373"/>
    </row>
    <row r="235" spans="2:12" ht="18" customHeight="1">
      <c r="B235" s="366" t="s">
        <v>1046</v>
      </c>
      <c r="C235" s="218" t="s">
        <v>449</v>
      </c>
      <c r="D235" s="227" t="s">
        <v>227</v>
      </c>
      <c r="E235" s="479" t="s">
        <v>579</v>
      </c>
      <c r="F235" s="475" t="s">
        <v>33</v>
      </c>
      <c r="G235" s="480" t="s">
        <v>339</v>
      </c>
      <c r="H235" s="481">
        <v>60.38</v>
      </c>
      <c r="I235" s="360">
        <f t="shared" si="22"/>
        <v>75.43</v>
      </c>
      <c r="J235" s="360">
        <f>ROUND(G235*I235,2)</f>
        <v>1131.45</v>
      </c>
      <c r="K235" s="459"/>
      <c r="L235" s="373"/>
    </row>
    <row r="236" spans="2:12" ht="18" customHeight="1">
      <c r="B236" s="577" t="s">
        <v>662</v>
      </c>
      <c r="C236" s="579" t="s">
        <v>456</v>
      </c>
      <c r="D236" s="580"/>
      <c r="E236" s="581"/>
      <c r="F236" s="582"/>
      <c r="G236" s="583"/>
      <c r="H236" s="584"/>
      <c r="I236" s="569"/>
      <c r="J236" s="569"/>
      <c r="K236" s="585"/>
      <c r="L236" s="573"/>
    </row>
    <row r="237" spans="2:12" ht="45">
      <c r="B237" s="366" t="s">
        <v>1047</v>
      </c>
      <c r="C237" s="478" t="s">
        <v>450</v>
      </c>
      <c r="D237" s="227" t="s">
        <v>227</v>
      </c>
      <c r="E237" s="482">
        <v>470701</v>
      </c>
      <c r="F237" s="483" t="s">
        <v>1</v>
      </c>
      <c r="G237" s="480" t="s">
        <v>279</v>
      </c>
      <c r="H237" s="481">
        <v>51.47</v>
      </c>
      <c r="I237" s="360">
        <f t="shared" si="22"/>
        <v>64.3</v>
      </c>
      <c r="J237" s="360">
        <f>ROUND(G237*I237,2)</f>
        <v>128.6</v>
      </c>
      <c r="K237" s="237"/>
      <c r="L237" s="238"/>
    </row>
    <row r="238" spans="2:12" ht="45">
      <c r="B238" s="366" t="s">
        <v>1048</v>
      </c>
      <c r="C238" s="478" t="s">
        <v>451</v>
      </c>
      <c r="D238" s="227" t="s">
        <v>227</v>
      </c>
      <c r="E238" s="484">
        <v>470702</v>
      </c>
      <c r="F238" s="483" t="s">
        <v>1</v>
      </c>
      <c r="G238" s="480" t="s">
        <v>338</v>
      </c>
      <c r="H238" s="481">
        <v>70.63</v>
      </c>
      <c r="I238" s="360">
        <f t="shared" si="22"/>
        <v>88.24</v>
      </c>
      <c r="J238" s="360">
        <f>ROUND(G238*I238,2)</f>
        <v>441.2</v>
      </c>
      <c r="K238" s="237"/>
      <c r="L238" s="238"/>
    </row>
    <row r="239" spans="2:12" ht="45">
      <c r="B239" s="366" t="s">
        <v>1049</v>
      </c>
      <c r="C239" s="218" t="s">
        <v>452</v>
      </c>
      <c r="D239" s="227" t="s">
        <v>227</v>
      </c>
      <c r="E239" s="485">
        <v>470703</v>
      </c>
      <c r="F239" s="483" t="s">
        <v>1</v>
      </c>
      <c r="G239" s="480" t="s">
        <v>279</v>
      </c>
      <c r="H239" s="481">
        <v>97.65</v>
      </c>
      <c r="I239" s="360">
        <f t="shared" si="22"/>
        <v>121.99</v>
      </c>
      <c r="J239" s="360">
        <f>ROUND(G239*I239,2)</f>
        <v>243.98</v>
      </c>
      <c r="K239" s="237"/>
      <c r="L239" s="238"/>
    </row>
    <row r="240" spans="2:12" ht="18" customHeight="1">
      <c r="B240" s="366" t="s">
        <v>1050</v>
      </c>
      <c r="C240" s="218" t="s">
        <v>453</v>
      </c>
      <c r="D240" s="227" t="s">
        <v>49</v>
      </c>
      <c r="E240" s="227">
        <v>10311</v>
      </c>
      <c r="F240" s="483" t="s">
        <v>1</v>
      </c>
      <c r="G240" s="480" t="s">
        <v>240</v>
      </c>
      <c r="H240" s="481">
        <v>547.77</v>
      </c>
      <c r="I240" s="360">
        <f t="shared" si="22"/>
        <v>684.33</v>
      </c>
      <c r="J240" s="360">
        <f>ROUND(G240*I240,2)</f>
        <v>684.33</v>
      </c>
      <c r="K240" s="237"/>
      <c r="L240" s="238"/>
    </row>
    <row r="241" spans="2:12" ht="18" customHeight="1">
      <c r="B241" s="366" t="s">
        <v>1051</v>
      </c>
      <c r="C241" s="478" t="s">
        <v>454</v>
      </c>
      <c r="D241" s="227" t="s">
        <v>49</v>
      </c>
      <c r="E241" s="227">
        <v>8451</v>
      </c>
      <c r="F241" s="483" t="s">
        <v>1</v>
      </c>
      <c r="G241" s="480" t="s">
        <v>240</v>
      </c>
      <c r="H241" s="481">
        <v>667.78</v>
      </c>
      <c r="I241" s="360">
        <f t="shared" si="22"/>
        <v>834.26</v>
      </c>
      <c r="J241" s="360">
        <f>ROUND(G241*I241,2)</f>
        <v>834.26</v>
      </c>
      <c r="K241" s="237"/>
      <c r="L241" s="238"/>
    </row>
    <row r="242" spans="2:12" ht="18" customHeight="1">
      <c r="B242" s="577" t="s">
        <v>663</v>
      </c>
      <c r="C242" s="579" t="s">
        <v>457</v>
      </c>
      <c r="D242" s="580"/>
      <c r="E242" s="581"/>
      <c r="F242" s="582"/>
      <c r="G242" s="583"/>
      <c r="H242" s="584"/>
      <c r="I242" s="569"/>
      <c r="J242" s="569"/>
      <c r="K242" s="585"/>
      <c r="L242" s="573"/>
    </row>
    <row r="243" spans="2:12" ht="18" customHeight="1">
      <c r="B243" s="366" t="s">
        <v>1052</v>
      </c>
      <c r="C243" s="478" t="s">
        <v>464</v>
      </c>
      <c r="D243" s="227" t="s">
        <v>49</v>
      </c>
      <c r="E243" s="227">
        <v>521</v>
      </c>
      <c r="F243" s="483" t="s">
        <v>1</v>
      </c>
      <c r="G243" s="480" t="s">
        <v>240</v>
      </c>
      <c r="H243" s="481">
        <v>880</v>
      </c>
      <c r="I243" s="360">
        <f>ROUND(H243*($I$15/100+1),2)</f>
        <v>1099.38</v>
      </c>
      <c r="J243" s="360">
        <f>ROUND(G243*I243,2)</f>
        <v>1099.38</v>
      </c>
      <c r="K243" s="237"/>
      <c r="L243" s="238"/>
    </row>
    <row r="244" spans="2:12" ht="18" customHeight="1">
      <c r="B244" s="366" t="s">
        <v>1053</v>
      </c>
      <c r="C244" s="478" t="s">
        <v>465</v>
      </c>
      <c r="D244" s="227" t="s">
        <v>49</v>
      </c>
      <c r="E244" s="227">
        <v>521</v>
      </c>
      <c r="F244" s="483" t="s">
        <v>1</v>
      </c>
      <c r="G244" s="480" t="s">
        <v>240</v>
      </c>
      <c r="H244" s="481">
        <v>880</v>
      </c>
      <c r="I244" s="360">
        <f>ROUND(H244*($I$15/100+1),2)</f>
        <v>1099.38</v>
      </c>
      <c r="J244" s="360">
        <f>ROUND(G244*I244,2)</f>
        <v>1099.38</v>
      </c>
      <c r="K244" s="237"/>
      <c r="L244" s="238"/>
    </row>
    <row r="245" spans="2:12" ht="18" customHeight="1">
      <c r="B245" s="577" t="s">
        <v>664</v>
      </c>
      <c r="C245" s="579" t="s">
        <v>461</v>
      </c>
      <c r="D245" s="580"/>
      <c r="E245" s="581"/>
      <c r="F245" s="582"/>
      <c r="G245" s="583"/>
      <c r="H245" s="584"/>
      <c r="I245" s="569"/>
      <c r="J245" s="569"/>
      <c r="K245" s="585"/>
      <c r="L245" s="573"/>
    </row>
    <row r="246" spans="2:12" ht="18" customHeight="1">
      <c r="B246" s="366" t="s">
        <v>1054</v>
      </c>
      <c r="C246" s="478" t="s">
        <v>466</v>
      </c>
      <c r="D246" s="227" t="s">
        <v>49</v>
      </c>
      <c r="E246" s="227">
        <v>522</v>
      </c>
      <c r="F246" s="483" t="s">
        <v>1</v>
      </c>
      <c r="G246" s="480" t="s">
        <v>459</v>
      </c>
      <c r="H246" s="481">
        <v>6.43</v>
      </c>
      <c r="I246" s="360">
        <f>ROUND(H246*($I$15/100+1),2)</f>
        <v>8.03</v>
      </c>
      <c r="J246" s="360">
        <f>ROUND(G246*I246,2)</f>
        <v>1003.75</v>
      </c>
      <c r="K246" s="237"/>
      <c r="L246" s="238"/>
    </row>
    <row r="247" spans="2:12" ht="18" customHeight="1">
      <c r="B247" s="577" t="s">
        <v>665</v>
      </c>
      <c r="C247" s="579" t="s">
        <v>462</v>
      </c>
      <c r="D247" s="580"/>
      <c r="E247" s="683"/>
      <c r="F247" s="582"/>
      <c r="G247" s="583"/>
      <c r="H247" s="584"/>
      <c r="I247" s="569"/>
      <c r="J247" s="569"/>
      <c r="K247" s="585"/>
      <c r="L247" s="573"/>
    </row>
    <row r="248" spans="2:12" ht="18" customHeight="1">
      <c r="B248" s="366" t="s">
        <v>1055</v>
      </c>
      <c r="C248" s="478" t="s">
        <v>467</v>
      </c>
      <c r="D248" s="227" t="s">
        <v>49</v>
      </c>
      <c r="E248" s="227">
        <v>739487</v>
      </c>
      <c r="F248" s="483" t="s">
        <v>33</v>
      </c>
      <c r="G248" s="480" t="s">
        <v>459</v>
      </c>
      <c r="H248" s="481">
        <v>2.94</v>
      </c>
      <c r="I248" s="360">
        <f>ROUND(H248*($I$15/100+1),2)</f>
        <v>3.67</v>
      </c>
      <c r="J248" s="360">
        <f>ROUND(G248*I248,2)</f>
        <v>458.75</v>
      </c>
      <c r="K248" s="237"/>
      <c r="L248" s="238"/>
    </row>
    <row r="249" spans="2:12" ht="18" customHeight="1">
      <c r="B249" s="366" t="s">
        <v>1056</v>
      </c>
      <c r="C249" s="218" t="s">
        <v>468</v>
      </c>
      <c r="D249" s="243" t="s">
        <v>49</v>
      </c>
      <c r="E249" s="227">
        <v>9823</v>
      </c>
      <c r="F249" s="483" t="s">
        <v>33</v>
      </c>
      <c r="G249" s="480" t="s">
        <v>459</v>
      </c>
      <c r="H249" s="481">
        <v>4.58</v>
      </c>
      <c r="I249" s="360">
        <f t="shared" si="22"/>
        <v>5.72</v>
      </c>
      <c r="J249" s="360">
        <f>ROUND(G249*I249,2)</f>
        <v>715</v>
      </c>
      <c r="K249" s="237"/>
      <c r="L249" s="238"/>
    </row>
    <row r="250" spans="2:12" ht="18" customHeight="1" thickBot="1">
      <c r="B250" s="366" t="s">
        <v>1057</v>
      </c>
      <c r="C250" s="218" t="s">
        <v>469</v>
      </c>
      <c r="D250" s="243" t="s">
        <v>49</v>
      </c>
      <c r="E250" s="227">
        <v>3666</v>
      </c>
      <c r="F250" s="483" t="s">
        <v>1</v>
      </c>
      <c r="G250" s="480" t="s">
        <v>338</v>
      </c>
      <c r="H250" s="481">
        <v>326</v>
      </c>
      <c r="I250" s="360">
        <f t="shared" si="22"/>
        <v>407.27</v>
      </c>
      <c r="J250" s="360">
        <f>ROUND(G250*I250,2)</f>
        <v>2036.35</v>
      </c>
      <c r="K250" s="237"/>
      <c r="L250" s="238"/>
    </row>
    <row r="251" spans="2:12" ht="18" customHeight="1" thickBot="1">
      <c r="B251" s="702" t="s">
        <v>666</v>
      </c>
      <c r="C251" s="546" t="s">
        <v>909</v>
      </c>
      <c r="D251" s="547"/>
      <c r="E251" s="562"/>
      <c r="F251" s="548"/>
      <c r="G251" s="549"/>
      <c r="H251" s="602"/>
      <c r="I251" s="602"/>
      <c r="J251" s="603"/>
      <c r="K251" s="703">
        <f>SUM(J252:J254)</f>
        <v>5641.21</v>
      </c>
      <c r="L251" s="594">
        <f>K251/$K$269</f>
        <v>0.008313610060871016</v>
      </c>
    </row>
    <row r="252" spans="2:12" ht="30">
      <c r="B252" s="216" t="s">
        <v>667</v>
      </c>
      <c r="C252" s="670" t="s">
        <v>858</v>
      </c>
      <c r="D252" s="671" t="s">
        <v>41</v>
      </c>
      <c r="E252" s="671">
        <v>72948</v>
      </c>
      <c r="F252" s="203" t="s">
        <v>17</v>
      </c>
      <c r="G252" s="204">
        <f>'Memorial de Cálculo'!L489</f>
        <v>3.052</v>
      </c>
      <c r="H252" s="391">
        <v>32.19</v>
      </c>
      <c r="I252" s="239">
        <f>ROUND(H252*($I$15/100+1),2)</f>
        <v>40.21</v>
      </c>
      <c r="J252" s="239">
        <f>ROUND(G252*I252,2)</f>
        <v>122.72</v>
      </c>
      <c r="K252" s="237"/>
      <c r="L252" s="238"/>
    </row>
    <row r="253" spans="2:12" ht="18" customHeight="1">
      <c r="B253" s="216" t="s">
        <v>668</v>
      </c>
      <c r="C253" s="698" t="s">
        <v>859</v>
      </c>
      <c r="D253" s="699" t="s">
        <v>45</v>
      </c>
      <c r="E253" s="699" t="s">
        <v>860</v>
      </c>
      <c r="F253" s="555" t="s">
        <v>0</v>
      </c>
      <c r="G253" s="556">
        <f>'Memorial de Cálculo'!L492</f>
        <v>15.26</v>
      </c>
      <c r="H253" s="391">
        <v>40.44</v>
      </c>
      <c r="I253" s="239">
        <f>ROUND(H253*($I$15/100+1),2)</f>
        <v>50.52</v>
      </c>
      <c r="J253" s="239">
        <f>ROUND(G253*I253,2)</f>
        <v>770.94</v>
      </c>
      <c r="K253" s="237"/>
      <c r="L253" s="238"/>
    </row>
    <row r="254" spans="2:12" ht="18" customHeight="1" thickBot="1">
      <c r="B254" s="216" t="s">
        <v>669</v>
      </c>
      <c r="C254" s="446" t="s">
        <v>753</v>
      </c>
      <c r="D254" s="449" t="s">
        <v>41</v>
      </c>
      <c r="E254" s="447">
        <v>85179</v>
      </c>
      <c r="F254" s="449" t="s">
        <v>0</v>
      </c>
      <c r="G254" s="451">
        <f>'Memorial de Cálculo'!L497</f>
        <v>103.5</v>
      </c>
      <c r="H254" s="239">
        <v>36.72</v>
      </c>
      <c r="I254" s="239">
        <f>ROUND(H254*($I$15/100+1),2)</f>
        <v>45.87</v>
      </c>
      <c r="J254" s="239">
        <f>ROUND(G254*I254,2)</f>
        <v>4747.55</v>
      </c>
      <c r="K254" s="247"/>
      <c r="L254" s="238"/>
    </row>
    <row r="255" spans="2:12" s="19" customFormat="1" ht="18" customHeight="1" thickBot="1">
      <c r="B255" s="561" t="s">
        <v>674</v>
      </c>
      <c r="C255" s="546" t="s">
        <v>557</v>
      </c>
      <c r="D255" s="547"/>
      <c r="E255" s="562"/>
      <c r="F255" s="548"/>
      <c r="G255" s="549"/>
      <c r="H255" s="591"/>
      <c r="I255" s="591"/>
      <c r="J255" s="592"/>
      <c r="K255" s="593">
        <f>SUM(J256:J261)</f>
        <v>3933.9</v>
      </c>
      <c r="L255" s="594">
        <f>K255/$K$269</f>
        <v>0.005797499227729599</v>
      </c>
    </row>
    <row r="256" spans="2:12" s="19" customFormat="1" ht="15.75">
      <c r="B256" s="203" t="s">
        <v>670</v>
      </c>
      <c r="C256" s="390" t="s">
        <v>558</v>
      </c>
      <c r="D256" s="244" t="s">
        <v>45</v>
      </c>
      <c r="E256" s="385" t="s">
        <v>559</v>
      </c>
      <c r="F256" s="203" t="s">
        <v>0</v>
      </c>
      <c r="G256" s="239">
        <f>'Memorial de Cálculo'!L501</f>
        <v>6.9</v>
      </c>
      <c r="H256" s="239">
        <v>36</v>
      </c>
      <c r="I256" s="202">
        <f>ROUND(H256*($I$15/100+1),2)</f>
        <v>44.97</v>
      </c>
      <c r="J256" s="204">
        <f aca="true" t="shared" si="23" ref="J256:J261">ROUND(G256*I256,2)</f>
        <v>310.29</v>
      </c>
      <c r="K256" s="247"/>
      <c r="L256" s="238"/>
    </row>
    <row r="257" spans="2:12" s="19" customFormat="1" ht="45">
      <c r="B257" s="203" t="s">
        <v>671</v>
      </c>
      <c r="C257" s="275" t="s">
        <v>560</v>
      </c>
      <c r="D257" s="276" t="s">
        <v>49</v>
      </c>
      <c r="E257" s="277" t="s">
        <v>94</v>
      </c>
      <c r="F257" s="203" t="s">
        <v>0</v>
      </c>
      <c r="G257" s="239">
        <f>'Memorial de Cálculo'!L504</f>
        <v>6.9</v>
      </c>
      <c r="H257" s="239">
        <v>99.18</v>
      </c>
      <c r="I257" s="202">
        <f>ROUND(H257*($I$15/100+1),2)</f>
        <v>123.91</v>
      </c>
      <c r="J257" s="204">
        <f t="shared" si="23"/>
        <v>854.98</v>
      </c>
      <c r="K257" s="247"/>
      <c r="L257" s="238"/>
    </row>
    <row r="258" spans="2:12" s="19" customFormat="1" ht="18" customHeight="1">
      <c r="B258" s="203" t="s">
        <v>752</v>
      </c>
      <c r="C258" s="390" t="s">
        <v>868</v>
      </c>
      <c r="D258" s="244" t="s">
        <v>45</v>
      </c>
      <c r="E258" s="385" t="s">
        <v>561</v>
      </c>
      <c r="F258" s="203" t="s">
        <v>0</v>
      </c>
      <c r="G258" s="204">
        <f>'Memorial de Cálculo'!L507</f>
        <v>6.9</v>
      </c>
      <c r="H258" s="391">
        <v>124.73</v>
      </c>
      <c r="I258" s="202">
        <f>ROUND(H258*($I$15/100+1),2)</f>
        <v>155.83</v>
      </c>
      <c r="J258" s="204">
        <f t="shared" si="23"/>
        <v>1075.23</v>
      </c>
      <c r="K258" s="211"/>
      <c r="L258" s="207"/>
    </row>
    <row r="259" spans="2:12" s="19" customFormat="1" ht="15.75">
      <c r="B259" s="203" t="s">
        <v>1058</v>
      </c>
      <c r="C259" s="390" t="s">
        <v>562</v>
      </c>
      <c r="D259" s="244" t="s">
        <v>45</v>
      </c>
      <c r="E259" s="385" t="s">
        <v>563</v>
      </c>
      <c r="F259" s="203" t="s">
        <v>0</v>
      </c>
      <c r="G259" s="204">
        <f>'Memorial de Cálculo'!L510</f>
        <v>2.725</v>
      </c>
      <c r="H259" s="391">
        <v>417.61</v>
      </c>
      <c r="I259" s="202">
        <f>ROUND(H259*($I$15/100+1),2)</f>
        <v>521.72</v>
      </c>
      <c r="J259" s="204">
        <f t="shared" si="23"/>
        <v>1421.69</v>
      </c>
      <c r="K259" s="211"/>
      <c r="L259" s="207"/>
    </row>
    <row r="260" spans="2:12" s="19" customFormat="1" ht="30">
      <c r="B260" s="203" t="s">
        <v>1059</v>
      </c>
      <c r="C260" s="357" t="s">
        <v>564</v>
      </c>
      <c r="D260" s="212" t="s">
        <v>41</v>
      </c>
      <c r="E260" s="212">
        <v>72104</v>
      </c>
      <c r="F260" s="216" t="s">
        <v>33</v>
      </c>
      <c r="G260" s="239">
        <f>'Memorial de Cálculo'!L513</f>
        <v>3.45</v>
      </c>
      <c r="H260" s="239">
        <v>24.78</v>
      </c>
      <c r="I260" s="202">
        <f>ROUND(H260*($I$15/100+1),2)</f>
        <v>30.96</v>
      </c>
      <c r="J260" s="204">
        <f t="shared" si="23"/>
        <v>106.81</v>
      </c>
      <c r="K260" s="247"/>
      <c r="L260" s="238"/>
    </row>
    <row r="261" spans="2:12" s="19" customFormat="1" ht="18" customHeight="1" thickBot="1">
      <c r="B261" s="203" t="s">
        <v>1060</v>
      </c>
      <c r="C261" s="234" t="s">
        <v>566</v>
      </c>
      <c r="D261" s="227" t="s">
        <v>129</v>
      </c>
      <c r="E261" s="227"/>
      <c r="F261" s="216" t="s">
        <v>33</v>
      </c>
      <c r="G261" s="239">
        <f>'Memorial de Cálculo'!L516</f>
        <v>5.15</v>
      </c>
      <c r="H261" s="445">
        <v>46.52</v>
      </c>
      <c r="I261" s="360">
        <f>'Composições de Custo'!I142</f>
        <v>32.019999999999996</v>
      </c>
      <c r="J261" s="239">
        <f t="shared" si="23"/>
        <v>164.9</v>
      </c>
      <c r="K261" s="237"/>
      <c r="L261" s="238"/>
    </row>
    <row r="262" spans="2:12" ht="18" customHeight="1" thickBot="1">
      <c r="B262" s="561" t="s">
        <v>738</v>
      </c>
      <c r="C262" s="546" t="s">
        <v>12</v>
      </c>
      <c r="D262" s="547"/>
      <c r="E262" s="562"/>
      <c r="F262" s="548"/>
      <c r="G262" s="549"/>
      <c r="H262" s="549"/>
      <c r="I262" s="549"/>
      <c r="J262" s="550"/>
      <c r="K262" s="563">
        <f>SUM(J263:J267)</f>
        <v>14987.410000000002</v>
      </c>
      <c r="L262" s="552">
        <f>K262/$K$269</f>
        <v>0.0220873682352543</v>
      </c>
    </row>
    <row r="263" spans="2:12" ht="18" customHeight="1">
      <c r="B263" s="216" t="s">
        <v>754</v>
      </c>
      <c r="C263" s="357" t="s">
        <v>567</v>
      </c>
      <c r="D263" s="216" t="s">
        <v>41</v>
      </c>
      <c r="E263" s="358" t="s">
        <v>568</v>
      </c>
      <c r="F263" s="216" t="s">
        <v>0</v>
      </c>
      <c r="G263" s="239">
        <v>24.53</v>
      </c>
      <c r="H263" s="239">
        <f>'Memorial de Cálculo'!L522</f>
        <v>99.63000000000001</v>
      </c>
      <c r="I263" s="360">
        <f>ROUND(H263*($I$15/100+1),2)</f>
        <v>124.47</v>
      </c>
      <c r="J263" s="360">
        <f>ROUND(G263*I263,2)</f>
        <v>3053.25</v>
      </c>
      <c r="K263" s="247"/>
      <c r="L263" s="238"/>
    </row>
    <row r="264" spans="2:12" ht="18" customHeight="1">
      <c r="B264" s="216" t="s">
        <v>755</v>
      </c>
      <c r="C264" s="357" t="s">
        <v>758</v>
      </c>
      <c r="D264" s="216" t="s">
        <v>129</v>
      </c>
      <c r="E264" s="358"/>
      <c r="F264" s="216" t="s">
        <v>17</v>
      </c>
      <c r="G264" s="239">
        <f>'Memorial de Cálculo'!L525</f>
        <v>3.1762499999999996</v>
      </c>
      <c r="H264" s="239">
        <f>'Composições de Custo'!I65</f>
        <v>1619.116586593476</v>
      </c>
      <c r="I264" s="360">
        <f>ROUND(H264*($I$15/100+1),2)</f>
        <v>2022.76</v>
      </c>
      <c r="J264" s="360">
        <f>ROUND(G264*I264,2)</f>
        <v>6424.79</v>
      </c>
      <c r="K264" s="247"/>
      <c r="L264" s="238"/>
    </row>
    <row r="265" spans="2:12" ht="18" customHeight="1">
      <c r="B265" s="216" t="s">
        <v>756</v>
      </c>
      <c r="C265" s="357" t="s">
        <v>761</v>
      </c>
      <c r="D265" s="216" t="s">
        <v>129</v>
      </c>
      <c r="E265" s="358"/>
      <c r="F265" s="216" t="s">
        <v>1</v>
      </c>
      <c r="G265" s="239">
        <f>'Memorial de Cálculo'!L528</f>
        <v>7</v>
      </c>
      <c r="H265" s="239">
        <f>'Composições de Custo'!I323</f>
        <v>108.76</v>
      </c>
      <c r="I265" s="360">
        <f>ROUND(H265*($I$15/100+1),2)</f>
        <v>135.87</v>
      </c>
      <c r="J265" s="360">
        <f>ROUND(G265*I265,2)</f>
        <v>951.09</v>
      </c>
      <c r="K265" s="247"/>
      <c r="L265" s="238"/>
    </row>
    <row r="266" spans="2:12" ht="18" customHeight="1">
      <c r="B266" s="216" t="s">
        <v>759</v>
      </c>
      <c r="C266" s="357" t="s">
        <v>762</v>
      </c>
      <c r="D266" s="216" t="s">
        <v>45</v>
      </c>
      <c r="E266" s="358" t="s">
        <v>782</v>
      </c>
      <c r="F266" s="216" t="s">
        <v>33</v>
      </c>
      <c r="G266" s="239">
        <f>'Memorial de Cálculo'!L531</f>
        <v>34.55</v>
      </c>
      <c r="H266" s="239">
        <v>89.23</v>
      </c>
      <c r="I266" s="360">
        <f>ROUND(H266*($I$15/100+1),2)</f>
        <v>111.48</v>
      </c>
      <c r="J266" s="360">
        <f>ROUND(G266*I266,2)</f>
        <v>3851.63</v>
      </c>
      <c r="K266" s="247"/>
      <c r="L266" s="238"/>
    </row>
    <row r="267" spans="2:12" s="19" customFormat="1" ht="18" customHeight="1">
      <c r="B267" s="216" t="s">
        <v>760</v>
      </c>
      <c r="C267" s="630" t="s">
        <v>36</v>
      </c>
      <c r="D267" s="216" t="s">
        <v>41</v>
      </c>
      <c r="E267" s="358">
        <v>9537</v>
      </c>
      <c r="F267" s="216" t="s">
        <v>0</v>
      </c>
      <c r="G267" s="239">
        <v>373.89</v>
      </c>
      <c r="H267" s="235">
        <v>1.51</v>
      </c>
      <c r="I267" s="360">
        <f>ROUND(H267*($I$15/100+1),2)</f>
        <v>1.89</v>
      </c>
      <c r="J267" s="360">
        <f>ROUND(G267*I267,2)</f>
        <v>706.65</v>
      </c>
      <c r="K267" s="211"/>
      <c r="L267" s="207"/>
    </row>
    <row r="268" spans="2:12" s="8" customFormat="1" ht="4.5" customHeight="1" thickBot="1">
      <c r="B268" s="248"/>
      <c r="C268" s="249"/>
      <c r="D268" s="249"/>
      <c r="E268" s="249"/>
      <c r="F268" s="250"/>
      <c r="G268" s="251"/>
      <c r="H268" s="252"/>
      <c r="I268" s="253"/>
      <c r="J268" s="253"/>
      <c r="K268" s="254"/>
      <c r="L268" s="255"/>
    </row>
    <row r="269" spans="2:12" s="12" customFormat="1" ht="18" customHeight="1" thickBot="1">
      <c r="B269" s="717" t="s">
        <v>81</v>
      </c>
      <c r="C269" s="718"/>
      <c r="D269" s="547"/>
      <c r="E269" s="562"/>
      <c r="F269" s="548"/>
      <c r="G269" s="549"/>
      <c r="H269" s="549"/>
      <c r="I269" s="549"/>
      <c r="J269" s="550"/>
      <c r="K269" s="563">
        <f>SUM(K17:K267)</f>
        <v>678551.19</v>
      </c>
      <c r="L269" s="552">
        <f>SUM(L17:L267)</f>
        <v>1.0000000000000002</v>
      </c>
    </row>
    <row r="270" spans="2:12" s="12" customFormat="1" ht="18" customHeight="1">
      <c r="B270" s="256"/>
      <c r="C270" s="257"/>
      <c r="D270" s="257"/>
      <c r="E270" s="257"/>
      <c r="F270" s="258"/>
      <c r="G270" s="259"/>
      <c r="H270" s="260"/>
      <c r="I270" s="261"/>
      <c r="J270" s="261"/>
      <c r="K270" s="408"/>
      <c r="L270" s="262"/>
    </row>
    <row r="271" spans="2:12" ht="18" customHeight="1">
      <c r="B271" s="263"/>
      <c r="C271" s="264"/>
      <c r="D271" s="264"/>
      <c r="E271" s="264"/>
      <c r="F271" s="263"/>
      <c r="G271" s="265"/>
      <c r="H271" s="266"/>
      <c r="I271" s="267"/>
      <c r="J271" s="267"/>
      <c r="K271" s="268"/>
      <c r="L271" s="269"/>
    </row>
    <row r="272" spans="2:12" ht="18" customHeight="1">
      <c r="B272" s="719" t="str">
        <f>"Importa o presente orçamento a quantia de R$ "&amp;FIXED(K269)&amp;" ("&amp;[1]!VExtenso(K269)&amp;"), referente a "&amp;$B$9&amp;", "&amp;$F$9</f>
        <v>Importa o presente orçamento a quantia de R$ 678.551,19 (seiscentos e setenta e oito mil, quinhentos e cinquenta e um reais e dezenove centavos), referente a Obra: Construção do Centro de Parto Normal (CPN), Município: São Raimundo Nonato - PI</v>
      </c>
      <c r="C272" s="719"/>
      <c r="D272" s="719"/>
      <c r="E272" s="719"/>
      <c r="F272" s="719"/>
      <c r="G272" s="719"/>
      <c r="H272" s="719"/>
      <c r="I272" s="719"/>
      <c r="J272" s="719"/>
      <c r="K272" s="719"/>
      <c r="L272" s="719"/>
    </row>
    <row r="273" spans="2:12" ht="18" customHeight="1">
      <c r="B273" s="719"/>
      <c r="C273" s="719"/>
      <c r="D273" s="719"/>
      <c r="E273" s="719"/>
      <c r="F273" s="719"/>
      <c r="G273" s="719"/>
      <c r="H273" s="719"/>
      <c r="I273" s="719"/>
      <c r="J273" s="719"/>
      <c r="K273" s="719"/>
      <c r="L273" s="719"/>
    </row>
    <row r="274" spans="2:12" ht="18" customHeight="1">
      <c r="B274" s="1"/>
      <c r="F274" s="1"/>
      <c r="G274" s="1"/>
      <c r="H274" s="1"/>
      <c r="I274" s="1"/>
      <c r="J274" s="1"/>
      <c r="K274" s="1"/>
      <c r="L274" s="1"/>
    </row>
    <row r="275" spans="2:12" ht="18" customHeight="1">
      <c r="B275" s="1"/>
      <c r="F275" s="1"/>
      <c r="G275" s="1"/>
      <c r="H275" s="1"/>
      <c r="I275" s="1"/>
      <c r="J275" s="1"/>
      <c r="K275" s="1"/>
      <c r="L275" s="1"/>
    </row>
    <row r="276" spans="2:3" ht="18" customHeight="1">
      <c r="B276" s="724" t="s">
        <v>1068</v>
      </c>
      <c r="C276" s="724"/>
    </row>
    <row r="277" ht="18" customHeight="1">
      <c r="M277" s="1" t="s">
        <v>728</v>
      </c>
    </row>
    <row r="279" ht="18" customHeight="1">
      <c r="M279" s="1" t="str">
        <f>numeroextenso(K269)</f>
        <v> Seiscentos  Setenta Oito Mil  Quinhentos  Cinquenta Um Reais e Dezenove Centavos</v>
      </c>
    </row>
  </sheetData>
  <sheetProtection/>
  <mergeCells count="22">
    <mergeCell ref="B11:C11"/>
    <mergeCell ref="B12:L12"/>
    <mergeCell ref="F9:L9"/>
    <mergeCell ref="B9:E9"/>
    <mergeCell ref="B10:E10"/>
    <mergeCell ref="F10:L10"/>
    <mergeCell ref="E14:E15"/>
    <mergeCell ref="F2:L3"/>
    <mergeCell ref="F4:L5"/>
    <mergeCell ref="F6:L7"/>
    <mergeCell ref="K14:K15"/>
    <mergeCell ref="L14:L15"/>
    <mergeCell ref="B269:C269"/>
    <mergeCell ref="B272:L273"/>
    <mergeCell ref="J14:J15"/>
    <mergeCell ref="B14:B15"/>
    <mergeCell ref="B276:C276"/>
    <mergeCell ref="C14:C15"/>
    <mergeCell ref="F14:F15"/>
    <mergeCell ref="G14:G15"/>
    <mergeCell ref="H14:H15"/>
    <mergeCell ref="D14:D15"/>
  </mergeCells>
  <printOptions horizontalCentered="1"/>
  <pageMargins left="0.3937007874015748" right="0.1968503937007874" top="0.5905511811023623" bottom="0.7" header="0.3937007874015748" footer="0.3937007874015748"/>
  <pageSetup horizontalDpi="600" verticalDpi="600" orientation="landscape" paperSize="9" scale="61" r:id="rId2"/>
  <headerFooter>
    <oddFooter>&amp;R&amp;P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50"/>
  <sheetViews>
    <sheetView view="pageBreakPreview" zoomScale="95" zoomScaleSheetLayoutView="95" zoomScalePageLayoutView="0" workbookViewId="0" topLeftCell="A1">
      <selection activeCell="C44" sqref="C44"/>
    </sheetView>
  </sheetViews>
  <sheetFormatPr defaultColWidth="9.140625" defaultRowHeight="15"/>
  <cols>
    <col min="2" max="2" width="9.140625" style="0" customWidth="1"/>
    <col min="3" max="3" width="47.8515625" style="0" customWidth="1"/>
    <col min="4" max="4" width="8.57421875" style="0" customWidth="1"/>
    <col min="5" max="5" width="13.28125" style="0" bestFit="1" customWidth="1"/>
    <col min="6" max="6" width="7.57421875" style="0" bestFit="1" customWidth="1"/>
    <col min="7" max="7" width="10.00390625" style="0" bestFit="1" customWidth="1"/>
    <col min="8" max="8" width="6.7109375" style="0" bestFit="1" customWidth="1"/>
    <col min="9" max="9" width="11.00390625" style="0" bestFit="1" customWidth="1"/>
    <col min="10" max="10" width="7.57421875" style="0" bestFit="1" customWidth="1"/>
    <col min="11" max="11" width="11.00390625" style="0" bestFit="1" customWidth="1"/>
    <col min="12" max="12" width="7.57421875" style="0" bestFit="1" customWidth="1"/>
    <col min="13" max="13" width="11.00390625" style="0" bestFit="1" customWidth="1"/>
    <col min="14" max="14" width="6.7109375" style="0" customWidth="1"/>
    <col min="15" max="15" width="11.00390625" style="0" customWidth="1"/>
    <col min="16" max="16" width="6.7109375" style="0" customWidth="1"/>
    <col min="17" max="17" width="11.00390625" style="0" customWidth="1"/>
    <col min="18" max="18" width="7.57421875" style="0" bestFit="1" customWidth="1"/>
    <col min="19" max="19" width="10.00390625" style="0" bestFit="1" customWidth="1"/>
    <col min="20" max="20" width="12.28125" style="0" customWidth="1"/>
    <col min="21" max="21" width="13.28125" style="0" bestFit="1" customWidth="1"/>
    <col min="22" max="22" width="11.57421875" style="0" bestFit="1" customWidth="1"/>
  </cols>
  <sheetData>
    <row r="2" spans="2:20" ht="18" customHeight="1">
      <c r="B2" s="30"/>
      <c r="C2" s="31"/>
      <c r="D2" s="31"/>
      <c r="E2" s="31"/>
      <c r="F2" s="767" t="s">
        <v>46</v>
      </c>
      <c r="G2" s="735"/>
      <c r="H2" s="735"/>
      <c r="I2" s="735"/>
      <c r="J2" s="735"/>
      <c r="K2" s="735"/>
      <c r="L2" s="735"/>
      <c r="M2" s="735"/>
      <c r="N2" s="735"/>
      <c r="O2" s="735"/>
      <c r="P2" s="735"/>
      <c r="Q2" s="735"/>
      <c r="R2" s="735"/>
      <c r="S2" s="735"/>
      <c r="T2" s="735"/>
    </row>
    <row r="3" spans="2:20" ht="18" customHeight="1">
      <c r="B3" s="32"/>
      <c r="C3" s="33"/>
      <c r="D3" s="33"/>
      <c r="E3" s="33"/>
      <c r="F3" s="735"/>
      <c r="G3" s="735"/>
      <c r="H3" s="735"/>
      <c r="I3" s="735"/>
      <c r="J3" s="735"/>
      <c r="K3" s="735"/>
      <c r="L3" s="735"/>
      <c r="M3" s="735"/>
      <c r="N3" s="735"/>
      <c r="O3" s="735"/>
      <c r="P3" s="735"/>
      <c r="Q3" s="735"/>
      <c r="R3" s="735"/>
      <c r="S3" s="735"/>
      <c r="T3" s="735"/>
    </row>
    <row r="4" spans="2:20" ht="18" customHeight="1">
      <c r="B4" s="32"/>
      <c r="C4" s="33"/>
      <c r="D4" s="33"/>
      <c r="E4" s="33"/>
      <c r="F4" s="735" t="s">
        <v>47</v>
      </c>
      <c r="G4" s="735"/>
      <c r="H4" s="735"/>
      <c r="I4" s="735"/>
      <c r="J4" s="735"/>
      <c r="K4" s="735"/>
      <c r="L4" s="735"/>
      <c r="M4" s="735"/>
      <c r="N4" s="735"/>
      <c r="O4" s="735"/>
      <c r="P4" s="735"/>
      <c r="Q4" s="735"/>
      <c r="R4" s="735"/>
      <c r="S4" s="735"/>
      <c r="T4" s="735"/>
    </row>
    <row r="5" spans="2:20" ht="18" customHeight="1">
      <c r="B5" s="32"/>
      <c r="C5" s="33"/>
      <c r="D5" s="33"/>
      <c r="E5" s="33"/>
      <c r="F5" s="735"/>
      <c r="G5" s="735"/>
      <c r="H5" s="735"/>
      <c r="I5" s="735"/>
      <c r="J5" s="735"/>
      <c r="K5" s="735"/>
      <c r="L5" s="735"/>
      <c r="M5" s="735"/>
      <c r="N5" s="735"/>
      <c r="O5" s="735"/>
      <c r="P5" s="735"/>
      <c r="Q5" s="735"/>
      <c r="R5" s="735"/>
      <c r="S5" s="735"/>
      <c r="T5" s="735"/>
    </row>
    <row r="6" spans="2:20" ht="18" customHeight="1">
      <c r="B6" s="32"/>
      <c r="C6" s="33"/>
      <c r="D6" s="33"/>
      <c r="E6" s="33"/>
      <c r="F6" s="768" t="s">
        <v>34</v>
      </c>
      <c r="G6" s="768"/>
      <c r="H6" s="768"/>
      <c r="I6" s="768"/>
      <c r="J6" s="768"/>
      <c r="K6" s="768"/>
      <c r="L6" s="768"/>
      <c r="M6" s="768"/>
      <c r="N6" s="768"/>
      <c r="O6" s="768"/>
      <c r="P6" s="768"/>
      <c r="Q6" s="768"/>
      <c r="R6" s="768"/>
      <c r="S6" s="768"/>
      <c r="T6" s="768"/>
    </row>
    <row r="7" spans="2:20" ht="18" customHeight="1">
      <c r="B7" s="34"/>
      <c r="C7" s="35"/>
      <c r="D7" s="35"/>
      <c r="E7" s="35"/>
      <c r="F7" s="768"/>
      <c r="G7" s="768"/>
      <c r="H7" s="768"/>
      <c r="I7" s="768"/>
      <c r="J7" s="768"/>
      <c r="K7" s="768"/>
      <c r="L7" s="768"/>
      <c r="M7" s="768"/>
      <c r="N7" s="768"/>
      <c r="O7" s="768"/>
      <c r="P7" s="768"/>
      <c r="Q7" s="768"/>
      <c r="R7" s="768"/>
      <c r="S7" s="768"/>
      <c r="T7" s="768"/>
    </row>
    <row r="8" spans="2:20" ht="4.5" customHeight="1">
      <c r="B8" s="36"/>
      <c r="C8" s="33"/>
      <c r="D8" s="33"/>
      <c r="E8" s="33"/>
      <c r="F8" s="36"/>
      <c r="G8" s="37"/>
      <c r="H8" s="37"/>
      <c r="I8" s="37"/>
      <c r="J8" s="37"/>
      <c r="K8" s="38"/>
      <c r="L8" s="38"/>
      <c r="M8" s="38"/>
      <c r="N8" s="38"/>
      <c r="O8" s="38"/>
      <c r="P8" s="38"/>
      <c r="Q8" s="38"/>
      <c r="R8" s="38"/>
      <c r="S8" s="38"/>
      <c r="T8" s="39"/>
    </row>
    <row r="9" spans="2:20" ht="24" customHeight="1">
      <c r="B9" s="751" t="s">
        <v>104</v>
      </c>
      <c r="C9" s="752"/>
      <c r="D9" s="752"/>
      <c r="E9" s="752"/>
      <c r="F9" s="751" t="s">
        <v>1064</v>
      </c>
      <c r="G9" s="752"/>
      <c r="H9" s="752"/>
      <c r="I9" s="752"/>
      <c r="J9" s="752"/>
      <c r="K9" s="752"/>
      <c r="L9" s="752"/>
      <c r="M9" s="752"/>
      <c r="N9" s="752"/>
      <c r="O9" s="752"/>
      <c r="P9" s="752"/>
      <c r="Q9" s="752"/>
      <c r="R9" s="752"/>
      <c r="S9" s="752"/>
      <c r="T9" s="753"/>
    </row>
    <row r="10" spans="2:20" ht="24" customHeight="1">
      <c r="B10" s="751" t="s">
        <v>105</v>
      </c>
      <c r="C10" s="752"/>
      <c r="D10" s="752"/>
      <c r="E10" s="752"/>
      <c r="F10" s="761" t="s">
        <v>586</v>
      </c>
      <c r="G10" s="762"/>
      <c r="H10" s="762"/>
      <c r="I10" s="762"/>
      <c r="J10" s="762"/>
      <c r="K10" s="762"/>
      <c r="L10" s="762"/>
      <c r="M10" s="762"/>
      <c r="N10" s="762"/>
      <c r="O10" s="762"/>
      <c r="P10" s="762"/>
      <c r="Q10" s="762"/>
      <c r="R10" s="762"/>
      <c r="S10" s="762"/>
      <c r="T10" s="763"/>
    </row>
    <row r="11" spans="2:20" ht="4.5" customHeight="1" thickBot="1"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0"/>
    </row>
    <row r="12" spans="2:20" ht="24.75" customHeight="1" thickBot="1">
      <c r="B12" s="769" t="s">
        <v>50</v>
      </c>
      <c r="C12" s="770"/>
      <c r="D12" s="770"/>
      <c r="E12" s="770"/>
      <c r="F12" s="770"/>
      <c r="G12" s="770"/>
      <c r="H12" s="770"/>
      <c r="I12" s="770"/>
      <c r="J12" s="770"/>
      <c r="K12" s="770"/>
      <c r="L12" s="770"/>
      <c r="M12" s="770"/>
      <c r="N12" s="770"/>
      <c r="O12" s="770"/>
      <c r="P12" s="770"/>
      <c r="Q12" s="770"/>
      <c r="R12" s="770"/>
      <c r="S12" s="770"/>
      <c r="T12" s="771"/>
    </row>
    <row r="13" spans="2:20" ht="4.5" customHeight="1" thickBot="1"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0"/>
    </row>
    <row r="14" spans="2:20" ht="15">
      <c r="B14" s="754" t="s">
        <v>15</v>
      </c>
      <c r="C14" s="749" t="s">
        <v>16</v>
      </c>
      <c r="D14" s="754" t="s">
        <v>22</v>
      </c>
      <c r="E14" s="765" t="s">
        <v>23</v>
      </c>
      <c r="F14" s="757" t="s">
        <v>24</v>
      </c>
      <c r="G14" s="758"/>
      <c r="H14" s="757" t="s">
        <v>25</v>
      </c>
      <c r="I14" s="758"/>
      <c r="J14" s="757" t="s">
        <v>32</v>
      </c>
      <c r="K14" s="758"/>
      <c r="L14" s="757" t="s">
        <v>87</v>
      </c>
      <c r="M14" s="758"/>
      <c r="N14" s="757" t="s">
        <v>732</v>
      </c>
      <c r="O14" s="758"/>
      <c r="P14" s="757" t="s">
        <v>141</v>
      </c>
      <c r="Q14" s="758"/>
      <c r="R14" s="757">
        <v>210</v>
      </c>
      <c r="S14" s="758"/>
      <c r="T14" s="754" t="s">
        <v>14</v>
      </c>
    </row>
    <row r="15" spans="2:20" ht="15.75" thickBot="1">
      <c r="B15" s="755"/>
      <c r="C15" s="750"/>
      <c r="D15" s="755"/>
      <c r="E15" s="766"/>
      <c r="F15" s="520" t="s">
        <v>26</v>
      </c>
      <c r="G15" s="521" t="s">
        <v>27</v>
      </c>
      <c r="H15" s="520" t="s">
        <v>26</v>
      </c>
      <c r="I15" s="521" t="s">
        <v>27</v>
      </c>
      <c r="J15" s="520" t="s">
        <v>26</v>
      </c>
      <c r="K15" s="521" t="s">
        <v>27</v>
      </c>
      <c r="L15" s="520" t="s">
        <v>26</v>
      </c>
      <c r="M15" s="521" t="s">
        <v>27</v>
      </c>
      <c r="N15" s="520" t="s">
        <v>26</v>
      </c>
      <c r="O15" s="521" t="s">
        <v>27</v>
      </c>
      <c r="P15" s="520" t="s">
        <v>26</v>
      </c>
      <c r="Q15" s="521" t="s">
        <v>27</v>
      </c>
      <c r="R15" s="520" t="s">
        <v>26</v>
      </c>
      <c r="S15" s="521" t="s">
        <v>27</v>
      </c>
      <c r="T15" s="755"/>
    </row>
    <row r="16" spans="2:20" ht="4.5" customHeight="1" thickBot="1">
      <c r="B16" s="42"/>
      <c r="C16" s="42"/>
      <c r="D16" s="43"/>
      <c r="E16" s="42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2"/>
    </row>
    <row r="17" spans="2:21" ht="15">
      <c r="B17" s="499" t="s">
        <v>6</v>
      </c>
      <c r="C17" s="502" t="str">
        <f>Orçamento!C17</f>
        <v>SERVIÇOS PRELIMINARES</v>
      </c>
      <c r="D17" s="493">
        <f aca="true" t="shared" si="0" ref="D17:D36">E17/$E$38</f>
        <v>0.013692879972695944</v>
      </c>
      <c r="E17" s="496">
        <f>Orçamento!K17</f>
        <v>9291.32</v>
      </c>
      <c r="F17" s="496">
        <v>100</v>
      </c>
      <c r="G17" s="522">
        <f aca="true" t="shared" si="1" ref="G17:G36">F17*E17/100</f>
        <v>9291.32</v>
      </c>
      <c r="H17" s="508">
        <v>0</v>
      </c>
      <c r="I17" s="509">
        <f>H17*E17/100</f>
        <v>0</v>
      </c>
      <c r="J17" s="508">
        <v>0</v>
      </c>
      <c r="K17" s="509">
        <f aca="true" t="shared" si="2" ref="K17:K36">J17*E17/100</f>
        <v>0</v>
      </c>
      <c r="L17" s="508">
        <v>0</v>
      </c>
      <c r="M17" s="509">
        <f>L17*E17/100</f>
        <v>0</v>
      </c>
      <c r="N17" s="508">
        <v>0</v>
      </c>
      <c r="O17" s="509">
        <f>N17*E17/100</f>
        <v>0</v>
      </c>
      <c r="P17" s="508">
        <v>0</v>
      </c>
      <c r="Q17" s="509">
        <f>P17*E17/100</f>
        <v>0</v>
      </c>
      <c r="R17" s="514">
        <v>0</v>
      </c>
      <c r="S17" s="509">
        <f>R17*E17/100</f>
        <v>0</v>
      </c>
      <c r="T17" s="517">
        <f>G17+I17+K17+S17+M17+O17+Q17</f>
        <v>9291.32</v>
      </c>
      <c r="U17" s="327">
        <f>T17/E17</f>
        <v>1</v>
      </c>
    </row>
    <row r="18" spans="2:21" ht="15">
      <c r="B18" s="500" t="str">
        <f>Orçamento!B23</f>
        <v>2.00</v>
      </c>
      <c r="C18" s="503" t="str">
        <f>Orçamento!C23</f>
        <v>INFRA-ESTRUTURA</v>
      </c>
      <c r="D18" s="494">
        <f t="shared" si="0"/>
        <v>0.09865000752559289</v>
      </c>
      <c r="E18" s="497">
        <f>Orçamento!K23</f>
        <v>66939.08</v>
      </c>
      <c r="F18" s="497">
        <v>45</v>
      </c>
      <c r="G18" s="523">
        <f t="shared" si="1"/>
        <v>30122.586</v>
      </c>
      <c r="H18" s="510">
        <v>55</v>
      </c>
      <c r="I18" s="511">
        <f>H18*E18/100</f>
        <v>36816.494</v>
      </c>
      <c r="J18" s="510">
        <v>0</v>
      </c>
      <c r="K18" s="511">
        <f t="shared" si="2"/>
        <v>0</v>
      </c>
      <c r="L18" s="510">
        <v>0</v>
      </c>
      <c r="M18" s="511">
        <f aca="true" t="shared" si="3" ref="M18:M36">L18*E18/100</f>
        <v>0</v>
      </c>
      <c r="N18" s="510">
        <v>0</v>
      </c>
      <c r="O18" s="511">
        <f aca="true" t="shared" si="4" ref="O18:O36">N18*E18/100</f>
        <v>0</v>
      </c>
      <c r="P18" s="510">
        <v>0</v>
      </c>
      <c r="Q18" s="511">
        <f aca="true" t="shared" si="5" ref="Q18:Q36">P18*E18/100</f>
        <v>0</v>
      </c>
      <c r="R18" s="515">
        <v>0</v>
      </c>
      <c r="S18" s="511">
        <f aca="true" t="shared" si="6" ref="S18:S36">R18*E18/100</f>
        <v>0</v>
      </c>
      <c r="T18" s="518">
        <f aca="true" t="shared" si="7" ref="T18:T36">G18+I18+K18+S18+M18+O18+Q18</f>
        <v>66939.08</v>
      </c>
      <c r="U18" s="327">
        <f aca="true" t="shared" si="8" ref="U18:U36">T18/E18</f>
        <v>1</v>
      </c>
    </row>
    <row r="19" spans="2:21" ht="15">
      <c r="B19" s="500" t="str">
        <f>Orçamento!B35</f>
        <v>3.00</v>
      </c>
      <c r="C19" s="503" t="str">
        <f>Orçamento!C35</f>
        <v>SUPERESTRUTURA</v>
      </c>
      <c r="D19" s="494">
        <f t="shared" si="0"/>
        <v>0.08903550813903958</v>
      </c>
      <c r="E19" s="497">
        <f>Orçamento!K35</f>
        <v>60415.149999999994</v>
      </c>
      <c r="F19" s="497">
        <v>0</v>
      </c>
      <c r="G19" s="523">
        <f t="shared" si="1"/>
        <v>0</v>
      </c>
      <c r="H19" s="510">
        <v>35</v>
      </c>
      <c r="I19" s="511">
        <f aca="true" t="shared" si="9" ref="I19:I36">H19*E19/100</f>
        <v>21145.3025</v>
      </c>
      <c r="J19" s="510">
        <v>65</v>
      </c>
      <c r="K19" s="511">
        <f t="shared" si="2"/>
        <v>39269.847499999996</v>
      </c>
      <c r="L19" s="510">
        <v>0</v>
      </c>
      <c r="M19" s="511">
        <f t="shared" si="3"/>
        <v>0</v>
      </c>
      <c r="N19" s="510">
        <v>0</v>
      </c>
      <c r="O19" s="511">
        <f t="shared" si="4"/>
        <v>0</v>
      </c>
      <c r="P19" s="510">
        <v>0</v>
      </c>
      <c r="Q19" s="511">
        <f t="shared" si="5"/>
        <v>0</v>
      </c>
      <c r="R19" s="515">
        <v>0</v>
      </c>
      <c r="S19" s="511">
        <f t="shared" si="6"/>
        <v>0</v>
      </c>
      <c r="T19" s="518">
        <f t="shared" si="7"/>
        <v>60415.149999999994</v>
      </c>
      <c r="U19" s="327">
        <f t="shared" si="8"/>
        <v>1</v>
      </c>
    </row>
    <row r="20" spans="2:21" ht="15">
      <c r="B20" s="500" t="str">
        <f>Orçamento!B40</f>
        <v>4.00</v>
      </c>
      <c r="C20" s="504" t="str">
        <f>Orçamento!C40</f>
        <v>PAREDES E PAINÉIS</v>
      </c>
      <c r="D20" s="494">
        <f t="shared" si="0"/>
        <v>0.06821311447409001</v>
      </c>
      <c r="E20" s="497">
        <f>Orçamento!K40</f>
        <v>46286.09</v>
      </c>
      <c r="F20" s="497">
        <v>0</v>
      </c>
      <c r="G20" s="523">
        <f t="shared" si="1"/>
        <v>0</v>
      </c>
      <c r="H20" s="510">
        <v>15</v>
      </c>
      <c r="I20" s="511">
        <f t="shared" si="9"/>
        <v>6942.9135</v>
      </c>
      <c r="J20" s="510">
        <v>75</v>
      </c>
      <c r="K20" s="511">
        <f t="shared" si="2"/>
        <v>34714.5675</v>
      </c>
      <c r="L20" s="510">
        <v>10</v>
      </c>
      <c r="M20" s="511">
        <f t="shared" si="3"/>
        <v>4628.6089999999995</v>
      </c>
      <c r="N20" s="510">
        <v>0</v>
      </c>
      <c r="O20" s="511">
        <f t="shared" si="4"/>
        <v>0</v>
      </c>
      <c r="P20" s="510">
        <v>0</v>
      </c>
      <c r="Q20" s="511">
        <f t="shared" si="5"/>
        <v>0</v>
      </c>
      <c r="R20" s="515">
        <v>0</v>
      </c>
      <c r="S20" s="511">
        <f t="shared" si="6"/>
        <v>0</v>
      </c>
      <c r="T20" s="518">
        <f t="shared" si="7"/>
        <v>46286.09</v>
      </c>
      <c r="U20" s="327">
        <f t="shared" si="8"/>
        <v>1</v>
      </c>
    </row>
    <row r="21" spans="2:21" ht="15">
      <c r="B21" s="500" t="str">
        <f>Orçamento!B51</f>
        <v>5.00</v>
      </c>
      <c r="C21" s="503" t="str">
        <f>Orçamento!C51</f>
        <v>COBERTURA</v>
      </c>
      <c r="D21" s="494">
        <f t="shared" si="0"/>
        <v>0.098442845557459</v>
      </c>
      <c r="E21" s="497">
        <f>Orçamento!K51</f>
        <v>66798.51000000001</v>
      </c>
      <c r="F21" s="497">
        <v>0</v>
      </c>
      <c r="G21" s="523">
        <f t="shared" si="1"/>
        <v>0</v>
      </c>
      <c r="H21" s="510">
        <v>0</v>
      </c>
      <c r="I21" s="511">
        <f t="shared" si="9"/>
        <v>0</v>
      </c>
      <c r="J21" s="510">
        <v>85</v>
      </c>
      <c r="K21" s="511">
        <f t="shared" si="2"/>
        <v>56778.7335</v>
      </c>
      <c r="L21" s="510">
        <v>15</v>
      </c>
      <c r="M21" s="511">
        <f t="shared" si="3"/>
        <v>10019.776500000002</v>
      </c>
      <c r="N21" s="510">
        <v>0</v>
      </c>
      <c r="O21" s="511">
        <f t="shared" si="4"/>
        <v>0</v>
      </c>
      <c r="P21" s="510">
        <v>0</v>
      </c>
      <c r="Q21" s="511">
        <f t="shared" si="5"/>
        <v>0</v>
      </c>
      <c r="R21" s="515">
        <v>0</v>
      </c>
      <c r="S21" s="511">
        <f t="shared" si="6"/>
        <v>0</v>
      </c>
      <c r="T21" s="518">
        <f t="shared" si="7"/>
        <v>66798.51000000001</v>
      </c>
      <c r="U21" s="327">
        <f t="shared" si="8"/>
        <v>1</v>
      </c>
    </row>
    <row r="22" spans="2:21" ht="15">
      <c r="B22" s="500" t="str">
        <f>Orçamento!B62</f>
        <v>6.00</v>
      </c>
      <c r="C22" s="503" t="str">
        <f>Orçamento!C62</f>
        <v>ESQUADRIAS METÁLICAS</v>
      </c>
      <c r="D22" s="494">
        <f t="shared" si="0"/>
        <v>0.03968578995491851</v>
      </c>
      <c r="E22" s="497">
        <f>Orçamento!K62</f>
        <v>26928.84</v>
      </c>
      <c r="F22" s="497">
        <v>0</v>
      </c>
      <c r="G22" s="523">
        <f t="shared" si="1"/>
        <v>0</v>
      </c>
      <c r="H22" s="510">
        <v>0</v>
      </c>
      <c r="I22" s="511">
        <f t="shared" si="9"/>
        <v>0</v>
      </c>
      <c r="J22" s="510">
        <v>0</v>
      </c>
      <c r="K22" s="511">
        <f t="shared" si="2"/>
        <v>0</v>
      </c>
      <c r="L22" s="510">
        <v>0</v>
      </c>
      <c r="M22" s="511">
        <f t="shared" si="3"/>
        <v>0</v>
      </c>
      <c r="N22" s="510">
        <v>90</v>
      </c>
      <c r="O22" s="511">
        <f t="shared" si="4"/>
        <v>24235.956000000002</v>
      </c>
      <c r="P22" s="510">
        <v>10</v>
      </c>
      <c r="Q22" s="511">
        <f t="shared" si="5"/>
        <v>2692.884</v>
      </c>
      <c r="R22" s="515">
        <v>0</v>
      </c>
      <c r="S22" s="511">
        <f t="shared" si="6"/>
        <v>0</v>
      </c>
      <c r="T22" s="518">
        <f t="shared" si="7"/>
        <v>26928.840000000004</v>
      </c>
      <c r="U22" s="327">
        <f t="shared" si="8"/>
        <v>1.0000000000000002</v>
      </c>
    </row>
    <row r="23" spans="2:21" ht="15">
      <c r="B23" s="500" t="str">
        <f>Orçamento!B68</f>
        <v>7.00</v>
      </c>
      <c r="C23" s="505" t="str">
        <f>Orçamento!C68</f>
        <v>ESQUADRIAS MADEIRA</v>
      </c>
      <c r="D23" s="494">
        <f t="shared" si="0"/>
        <v>0.03377472523480506</v>
      </c>
      <c r="E23" s="497">
        <f>Orçamento!K68</f>
        <v>22917.88</v>
      </c>
      <c r="F23" s="497">
        <v>0</v>
      </c>
      <c r="G23" s="523">
        <f t="shared" si="1"/>
        <v>0</v>
      </c>
      <c r="H23" s="510">
        <v>0</v>
      </c>
      <c r="I23" s="511">
        <f t="shared" si="9"/>
        <v>0</v>
      </c>
      <c r="J23" s="510">
        <v>15</v>
      </c>
      <c r="K23" s="511">
        <f t="shared" si="2"/>
        <v>3437.6820000000002</v>
      </c>
      <c r="L23" s="510">
        <v>0</v>
      </c>
      <c r="M23" s="511">
        <f t="shared" si="3"/>
        <v>0</v>
      </c>
      <c r="N23" s="510">
        <v>85</v>
      </c>
      <c r="O23" s="511">
        <f t="shared" si="4"/>
        <v>19480.198</v>
      </c>
      <c r="P23" s="510">
        <v>0</v>
      </c>
      <c r="Q23" s="511">
        <f t="shared" si="5"/>
        <v>0</v>
      </c>
      <c r="R23" s="515">
        <v>0</v>
      </c>
      <c r="S23" s="511">
        <f t="shared" si="6"/>
        <v>0</v>
      </c>
      <c r="T23" s="518">
        <f t="shared" si="7"/>
        <v>22917.88</v>
      </c>
      <c r="U23" s="327">
        <f t="shared" si="8"/>
        <v>1</v>
      </c>
    </row>
    <row r="24" spans="2:21" ht="15">
      <c r="B24" s="500" t="str">
        <f>Orçamento!B76</f>
        <v>8.00</v>
      </c>
      <c r="C24" s="503" t="str">
        <f>Orçamento!C76</f>
        <v>INSTALAÇÕES  HIDRO-SANITÁRIAS E ÁGUA PLUVIAL</v>
      </c>
      <c r="D24" s="494">
        <f t="shared" si="0"/>
        <v>0.10568829744444189</v>
      </c>
      <c r="E24" s="497">
        <f>Orçamento!K76</f>
        <v>71714.92</v>
      </c>
      <c r="F24" s="497">
        <v>0</v>
      </c>
      <c r="G24" s="523">
        <f t="shared" si="1"/>
        <v>0</v>
      </c>
      <c r="H24" s="510">
        <v>5</v>
      </c>
      <c r="I24" s="511">
        <f t="shared" si="9"/>
        <v>3585.7459999999996</v>
      </c>
      <c r="J24" s="510">
        <v>25</v>
      </c>
      <c r="K24" s="511">
        <f t="shared" si="2"/>
        <v>17928.73</v>
      </c>
      <c r="L24" s="510">
        <v>30</v>
      </c>
      <c r="M24" s="511">
        <f t="shared" si="3"/>
        <v>21514.476000000002</v>
      </c>
      <c r="N24" s="510">
        <v>15</v>
      </c>
      <c r="O24" s="511">
        <f t="shared" si="4"/>
        <v>10757.238000000001</v>
      </c>
      <c r="P24" s="510">
        <v>25</v>
      </c>
      <c r="Q24" s="511">
        <f t="shared" si="5"/>
        <v>17928.73</v>
      </c>
      <c r="R24" s="515">
        <v>0</v>
      </c>
      <c r="S24" s="511">
        <f t="shared" si="6"/>
        <v>0</v>
      </c>
      <c r="T24" s="518">
        <f t="shared" si="7"/>
        <v>71714.92</v>
      </c>
      <c r="U24" s="327">
        <f t="shared" si="8"/>
        <v>1</v>
      </c>
    </row>
    <row r="25" spans="2:21" ht="15">
      <c r="B25" s="500" t="str">
        <f>Orçamento!B131</f>
        <v>9.00</v>
      </c>
      <c r="C25" s="503" t="str">
        <f>Orçamento!C131</f>
        <v>INSTALAÇÃO ELÉTRICA</v>
      </c>
      <c r="D25" s="494">
        <f t="shared" si="0"/>
        <v>0.096692277556834</v>
      </c>
      <c r="E25" s="497">
        <f>Orçamento!K131</f>
        <v>65610.66</v>
      </c>
      <c r="F25" s="525">
        <v>5</v>
      </c>
      <c r="G25" s="523">
        <f t="shared" si="1"/>
        <v>3280.5330000000004</v>
      </c>
      <c r="H25" s="510">
        <v>10</v>
      </c>
      <c r="I25" s="511">
        <f t="shared" si="9"/>
        <v>6561.066000000001</v>
      </c>
      <c r="J25" s="510">
        <v>20</v>
      </c>
      <c r="K25" s="511">
        <f t="shared" si="2"/>
        <v>13122.132000000001</v>
      </c>
      <c r="L25" s="510">
        <v>5</v>
      </c>
      <c r="M25" s="511">
        <f t="shared" si="3"/>
        <v>3280.5330000000004</v>
      </c>
      <c r="N25" s="510">
        <v>50</v>
      </c>
      <c r="O25" s="511">
        <f t="shared" si="4"/>
        <v>32805.33</v>
      </c>
      <c r="P25" s="510">
        <v>0</v>
      </c>
      <c r="Q25" s="511">
        <f t="shared" si="5"/>
        <v>0</v>
      </c>
      <c r="R25" s="515">
        <v>10</v>
      </c>
      <c r="S25" s="511">
        <f t="shared" si="6"/>
        <v>6561.066000000001</v>
      </c>
      <c r="T25" s="518">
        <f t="shared" si="7"/>
        <v>65610.66</v>
      </c>
      <c r="U25" s="327">
        <f t="shared" si="8"/>
        <v>1</v>
      </c>
    </row>
    <row r="26" spans="2:21" ht="15">
      <c r="B26" s="500" t="str">
        <f>Orçamento!B178</f>
        <v>10.00</v>
      </c>
      <c r="C26" s="506" t="str">
        <f>Orçamento!C178</f>
        <v>REVESTIMENTO DE FORROS</v>
      </c>
      <c r="D26" s="494">
        <f t="shared" si="0"/>
        <v>0.012087518408154292</v>
      </c>
      <c r="E26" s="497">
        <f>Orçamento!K178</f>
        <v>8202</v>
      </c>
      <c r="F26" s="497">
        <v>0</v>
      </c>
      <c r="G26" s="523">
        <f t="shared" si="1"/>
        <v>0</v>
      </c>
      <c r="H26" s="510">
        <v>0</v>
      </c>
      <c r="I26" s="511">
        <f t="shared" si="9"/>
        <v>0</v>
      </c>
      <c r="J26" s="510">
        <v>15</v>
      </c>
      <c r="K26" s="511">
        <f t="shared" si="2"/>
        <v>1230.3</v>
      </c>
      <c r="L26" s="510">
        <v>85</v>
      </c>
      <c r="M26" s="511">
        <f t="shared" si="3"/>
        <v>6971.7</v>
      </c>
      <c r="N26" s="510">
        <v>0</v>
      </c>
      <c r="O26" s="511">
        <f t="shared" si="4"/>
        <v>0</v>
      </c>
      <c r="P26" s="510">
        <v>0</v>
      </c>
      <c r="Q26" s="511">
        <f t="shared" si="5"/>
        <v>0</v>
      </c>
      <c r="R26" s="515">
        <v>0</v>
      </c>
      <c r="S26" s="511">
        <f t="shared" si="6"/>
        <v>0</v>
      </c>
      <c r="T26" s="518">
        <f t="shared" si="7"/>
        <v>8202</v>
      </c>
      <c r="U26" s="327">
        <f t="shared" si="8"/>
        <v>1</v>
      </c>
    </row>
    <row r="27" spans="2:21" ht="15">
      <c r="B27" s="500" t="str">
        <f>Orçamento!B181</f>
        <v>11.00</v>
      </c>
      <c r="C27" s="503" t="str">
        <f>Orçamento!C181</f>
        <v>REVESTIMENTO DE PAREDES INTERNAS</v>
      </c>
      <c r="D27" s="494">
        <f t="shared" si="0"/>
        <v>0.06338386938795289</v>
      </c>
      <c r="E27" s="497">
        <f>Orçamento!K181</f>
        <v>43009.2</v>
      </c>
      <c r="F27" s="497">
        <v>0</v>
      </c>
      <c r="G27" s="523">
        <f t="shared" si="1"/>
        <v>0</v>
      </c>
      <c r="H27" s="510">
        <v>0</v>
      </c>
      <c r="I27" s="511">
        <f t="shared" si="9"/>
        <v>0</v>
      </c>
      <c r="J27" s="510">
        <v>25</v>
      </c>
      <c r="K27" s="511">
        <f t="shared" si="2"/>
        <v>10752.3</v>
      </c>
      <c r="L27" s="510">
        <v>75</v>
      </c>
      <c r="M27" s="511">
        <f t="shared" si="3"/>
        <v>32256.9</v>
      </c>
      <c r="N27" s="510">
        <v>0</v>
      </c>
      <c r="O27" s="511">
        <f t="shared" si="4"/>
        <v>0</v>
      </c>
      <c r="P27" s="510">
        <v>0</v>
      </c>
      <c r="Q27" s="511">
        <f t="shared" si="5"/>
        <v>0</v>
      </c>
      <c r="R27" s="515">
        <v>0</v>
      </c>
      <c r="S27" s="511">
        <f t="shared" si="6"/>
        <v>0</v>
      </c>
      <c r="T27" s="518">
        <f t="shared" si="7"/>
        <v>43009.2</v>
      </c>
      <c r="U27" s="327">
        <f t="shared" si="8"/>
        <v>1</v>
      </c>
    </row>
    <row r="28" spans="2:21" ht="15">
      <c r="B28" s="500" t="str">
        <f>Orçamento!B187</f>
        <v>12.00</v>
      </c>
      <c r="C28" s="503" t="str">
        <f>Orçamento!C187</f>
        <v>REVESTIMENTO DE PAREDES EXTERNAS</v>
      </c>
      <c r="D28" s="494">
        <f t="shared" si="0"/>
        <v>0.06176269472020233</v>
      </c>
      <c r="E28" s="497">
        <f>Orçamento!K187</f>
        <v>41909.15</v>
      </c>
      <c r="F28" s="497">
        <v>0</v>
      </c>
      <c r="G28" s="523">
        <f t="shared" si="1"/>
        <v>0</v>
      </c>
      <c r="H28" s="510">
        <v>0</v>
      </c>
      <c r="I28" s="511">
        <f t="shared" si="9"/>
        <v>0</v>
      </c>
      <c r="J28" s="510">
        <v>0</v>
      </c>
      <c r="K28" s="511">
        <f t="shared" si="2"/>
        <v>0</v>
      </c>
      <c r="L28" s="510">
        <v>100</v>
      </c>
      <c r="M28" s="511">
        <f t="shared" si="3"/>
        <v>41909.15</v>
      </c>
      <c r="N28" s="510">
        <v>0</v>
      </c>
      <c r="O28" s="511">
        <f t="shared" si="4"/>
        <v>0</v>
      </c>
      <c r="P28" s="510">
        <v>0</v>
      </c>
      <c r="Q28" s="511">
        <f t="shared" si="5"/>
        <v>0</v>
      </c>
      <c r="R28" s="515">
        <v>0</v>
      </c>
      <c r="S28" s="511">
        <f t="shared" si="6"/>
        <v>0</v>
      </c>
      <c r="T28" s="518">
        <f t="shared" si="7"/>
        <v>41909.15</v>
      </c>
      <c r="U28" s="327">
        <f t="shared" si="8"/>
        <v>1</v>
      </c>
    </row>
    <row r="29" spans="2:21" ht="15">
      <c r="B29" s="500" t="str">
        <f>Orçamento!B197</f>
        <v>13.00</v>
      </c>
      <c r="C29" s="503" t="str">
        <f>Orçamento!C197</f>
        <v>PAVIMENTAÇÃO</v>
      </c>
      <c r="D29" s="494">
        <f t="shared" si="0"/>
        <v>0.084459862195511</v>
      </c>
      <c r="E29" s="497">
        <f>Orçamento!K197</f>
        <v>57310.340000000004</v>
      </c>
      <c r="F29" s="497">
        <v>0</v>
      </c>
      <c r="G29" s="523">
        <f t="shared" si="1"/>
        <v>0</v>
      </c>
      <c r="H29" s="510">
        <v>0</v>
      </c>
      <c r="I29" s="511">
        <f t="shared" si="9"/>
        <v>0</v>
      </c>
      <c r="J29" s="510">
        <v>0</v>
      </c>
      <c r="K29" s="511">
        <f t="shared" si="2"/>
        <v>0</v>
      </c>
      <c r="L29" s="510">
        <v>10</v>
      </c>
      <c r="M29" s="511">
        <f t="shared" si="3"/>
        <v>5731.034000000001</v>
      </c>
      <c r="N29" s="510">
        <v>90</v>
      </c>
      <c r="O29" s="511">
        <f t="shared" si="4"/>
        <v>51579.306000000004</v>
      </c>
      <c r="P29" s="510">
        <v>0</v>
      </c>
      <c r="Q29" s="511">
        <f t="shared" si="5"/>
        <v>0</v>
      </c>
      <c r="R29" s="515">
        <v>0</v>
      </c>
      <c r="S29" s="511">
        <f t="shared" si="6"/>
        <v>0</v>
      </c>
      <c r="T29" s="518">
        <f t="shared" si="7"/>
        <v>57310.340000000004</v>
      </c>
      <c r="U29" s="327">
        <f t="shared" si="8"/>
        <v>1</v>
      </c>
    </row>
    <row r="30" spans="2:21" ht="15">
      <c r="B30" s="500" t="str">
        <f>Orçamento!B203</f>
        <v>14.00</v>
      </c>
      <c r="C30" s="503" t="str">
        <f>Orçamento!C203</f>
        <v>VIDROS</v>
      </c>
      <c r="D30" s="494">
        <f t="shared" si="0"/>
        <v>0.01431317215728411</v>
      </c>
      <c r="E30" s="497">
        <f>Orçamento!K203</f>
        <v>9712.22</v>
      </c>
      <c r="F30" s="497">
        <v>0</v>
      </c>
      <c r="G30" s="523">
        <f t="shared" si="1"/>
        <v>0</v>
      </c>
      <c r="H30" s="510">
        <v>0</v>
      </c>
      <c r="I30" s="511">
        <f t="shared" si="9"/>
        <v>0</v>
      </c>
      <c r="J30" s="510">
        <v>0</v>
      </c>
      <c r="K30" s="511">
        <f t="shared" si="2"/>
        <v>0</v>
      </c>
      <c r="L30" s="510">
        <v>0</v>
      </c>
      <c r="M30" s="511">
        <f t="shared" si="3"/>
        <v>0</v>
      </c>
      <c r="N30" s="510">
        <v>0</v>
      </c>
      <c r="O30" s="511">
        <f t="shared" si="4"/>
        <v>0</v>
      </c>
      <c r="P30" s="510">
        <v>0</v>
      </c>
      <c r="Q30" s="511">
        <f t="shared" si="5"/>
        <v>0</v>
      </c>
      <c r="R30" s="515">
        <v>100</v>
      </c>
      <c r="S30" s="511">
        <f t="shared" si="6"/>
        <v>9712.22</v>
      </c>
      <c r="T30" s="518">
        <f t="shared" si="7"/>
        <v>9712.22</v>
      </c>
      <c r="U30" s="327">
        <f t="shared" si="8"/>
        <v>1</v>
      </c>
    </row>
    <row r="31" spans="2:21" ht="15">
      <c r="B31" s="500" t="str">
        <f>Orçamento!B206</f>
        <v>15.00</v>
      </c>
      <c r="C31" s="503" t="str">
        <f>Orçamento!C206</f>
        <v>PINTURA</v>
      </c>
      <c r="D31" s="494">
        <f t="shared" si="0"/>
        <v>0.054737432558330655</v>
      </c>
      <c r="E31" s="497">
        <f>Orçamento!K206</f>
        <v>37142.15000000001</v>
      </c>
      <c r="F31" s="497">
        <v>0</v>
      </c>
      <c r="G31" s="523">
        <f t="shared" si="1"/>
        <v>0</v>
      </c>
      <c r="H31" s="510">
        <v>0</v>
      </c>
      <c r="I31" s="511">
        <f t="shared" si="9"/>
        <v>0</v>
      </c>
      <c r="J31" s="510">
        <v>0</v>
      </c>
      <c r="K31" s="511">
        <f t="shared" si="2"/>
        <v>0</v>
      </c>
      <c r="L31" s="510">
        <v>0</v>
      </c>
      <c r="M31" s="511">
        <f t="shared" si="3"/>
        <v>0</v>
      </c>
      <c r="N31" s="510">
        <v>0</v>
      </c>
      <c r="O31" s="511">
        <f t="shared" si="4"/>
        <v>0</v>
      </c>
      <c r="P31" s="510">
        <v>35</v>
      </c>
      <c r="Q31" s="511">
        <f t="shared" si="5"/>
        <v>12999.752500000002</v>
      </c>
      <c r="R31" s="515">
        <v>65</v>
      </c>
      <c r="S31" s="511">
        <f t="shared" si="6"/>
        <v>24142.397500000006</v>
      </c>
      <c r="T31" s="518">
        <f t="shared" si="7"/>
        <v>37142.15000000001</v>
      </c>
      <c r="U31" s="327">
        <f t="shared" si="8"/>
        <v>1</v>
      </c>
    </row>
    <row r="32" spans="2:21" ht="15">
      <c r="B32" s="500" t="str">
        <f>Orçamento!B215</f>
        <v>16.00</v>
      </c>
      <c r="C32" s="503" t="str">
        <f>Orçamento!C215</f>
        <v>LIXO COMUM / LIXO HOSPITALAR / CENTRAL DE GASES</v>
      </c>
      <c r="D32" s="494">
        <f t="shared" si="0"/>
        <v>0.007023243154285826</v>
      </c>
      <c r="E32" s="497">
        <f>Orçamento!K215</f>
        <v>4765.63</v>
      </c>
      <c r="F32" s="497">
        <v>0</v>
      </c>
      <c r="G32" s="523">
        <f t="shared" si="1"/>
        <v>0</v>
      </c>
      <c r="H32" s="510">
        <v>0</v>
      </c>
      <c r="I32" s="511">
        <f t="shared" si="9"/>
        <v>0</v>
      </c>
      <c r="J32" s="510">
        <v>0</v>
      </c>
      <c r="K32" s="511">
        <f t="shared" si="2"/>
        <v>0</v>
      </c>
      <c r="L32" s="510">
        <v>0</v>
      </c>
      <c r="M32" s="511">
        <f t="shared" si="3"/>
        <v>0</v>
      </c>
      <c r="N32" s="510">
        <v>45</v>
      </c>
      <c r="O32" s="511">
        <f t="shared" si="4"/>
        <v>2144.5335</v>
      </c>
      <c r="P32" s="510">
        <v>55</v>
      </c>
      <c r="Q32" s="511">
        <f t="shared" si="5"/>
        <v>2621.0965</v>
      </c>
      <c r="R32" s="515">
        <v>0</v>
      </c>
      <c r="S32" s="511">
        <f t="shared" si="6"/>
        <v>0</v>
      </c>
      <c r="T32" s="518">
        <f t="shared" si="7"/>
        <v>4765.63</v>
      </c>
      <c r="U32" s="327">
        <f t="shared" si="8"/>
        <v>1</v>
      </c>
    </row>
    <row r="33" spans="2:21" ht="15">
      <c r="B33" s="500" t="str">
        <f>Orçamento!B231</f>
        <v>17.00</v>
      </c>
      <c r="C33" s="503" t="str">
        <f>Orçamento!C231</f>
        <v>INSTALAÇÕES DE GASES MEDICINAIS</v>
      </c>
      <c r="D33" s="494">
        <f t="shared" si="0"/>
        <v>0.0221582840345472</v>
      </c>
      <c r="E33" s="497">
        <f>Orçamento!K231</f>
        <v>15035.53</v>
      </c>
      <c r="F33" s="497">
        <v>0</v>
      </c>
      <c r="G33" s="523">
        <f t="shared" si="1"/>
        <v>0</v>
      </c>
      <c r="H33" s="510">
        <v>0</v>
      </c>
      <c r="I33" s="511">
        <f t="shared" si="9"/>
        <v>0</v>
      </c>
      <c r="J33" s="510">
        <v>0</v>
      </c>
      <c r="K33" s="511">
        <f t="shared" si="2"/>
        <v>0</v>
      </c>
      <c r="L33" s="510">
        <v>0</v>
      </c>
      <c r="M33" s="511">
        <f t="shared" si="3"/>
        <v>0</v>
      </c>
      <c r="N33" s="510">
        <v>0</v>
      </c>
      <c r="O33" s="511">
        <f t="shared" si="4"/>
        <v>0</v>
      </c>
      <c r="P33" s="510">
        <v>100</v>
      </c>
      <c r="Q33" s="511">
        <f t="shared" si="5"/>
        <v>15035.53</v>
      </c>
      <c r="R33" s="515">
        <v>0</v>
      </c>
      <c r="S33" s="511">
        <f t="shared" si="6"/>
        <v>0</v>
      </c>
      <c r="T33" s="518">
        <f t="shared" si="7"/>
        <v>15035.53</v>
      </c>
      <c r="U33" s="327">
        <f t="shared" si="8"/>
        <v>1</v>
      </c>
    </row>
    <row r="34" spans="2:21" ht="15">
      <c r="B34" s="500" t="str">
        <f>Orçamento!B255</f>
        <v>19.00</v>
      </c>
      <c r="C34" s="503" t="str">
        <f>Orçamento!C255</f>
        <v>MARQUISE</v>
      </c>
      <c r="D34" s="494">
        <f t="shared" si="0"/>
        <v>0.005797499227729599</v>
      </c>
      <c r="E34" s="497">
        <f>Orçamento!K255</f>
        <v>3933.9</v>
      </c>
      <c r="F34" s="497">
        <v>0</v>
      </c>
      <c r="G34" s="523">
        <f>F34*E34/100</f>
        <v>0</v>
      </c>
      <c r="H34" s="510">
        <v>0</v>
      </c>
      <c r="I34" s="511">
        <f t="shared" si="9"/>
        <v>0</v>
      </c>
      <c r="J34" s="510">
        <v>0</v>
      </c>
      <c r="K34" s="511">
        <f t="shared" si="2"/>
        <v>0</v>
      </c>
      <c r="L34" s="510">
        <v>0</v>
      </c>
      <c r="M34" s="511">
        <f t="shared" si="3"/>
        <v>0</v>
      </c>
      <c r="N34" s="510">
        <v>0</v>
      </c>
      <c r="O34" s="511">
        <f t="shared" si="4"/>
        <v>0</v>
      </c>
      <c r="P34" s="510">
        <v>0</v>
      </c>
      <c r="Q34" s="511">
        <f t="shared" si="5"/>
        <v>0</v>
      </c>
      <c r="R34" s="515">
        <v>100</v>
      </c>
      <c r="S34" s="511">
        <f t="shared" si="6"/>
        <v>3933.9</v>
      </c>
      <c r="T34" s="518">
        <f>G34+I34+K34+S34+M34+O34+Q34</f>
        <v>3933.9</v>
      </c>
      <c r="U34" s="327">
        <f t="shared" si="8"/>
        <v>1</v>
      </c>
    </row>
    <row r="35" spans="2:21" ht="15">
      <c r="B35" s="500" t="str">
        <f>Orçamento!B251</f>
        <v>18.00</v>
      </c>
      <c r="C35" s="704" t="str">
        <f>Orçamento!C251</f>
        <v>URBANIZAÇÃO</v>
      </c>
      <c r="D35" s="494">
        <f t="shared" si="0"/>
        <v>0.008313610060871016</v>
      </c>
      <c r="E35" s="497">
        <f>Orçamento!K251</f>
        <v>5641.21</v>
      </c>
      <c r="F35" s="497">
        <v>0</v>
      </c>
      <c r="G35" s="523">
        <f>F35*E35/100</f>
        <v>0</v>
      </c>
      <c r="H35" s="510">
        <v>0</v>
      </c>
      <c r="I35" s="511">
        <f t="shared" si="9"/>
        <v>0</v>
      </c>
      <c r="J35" s="510">
        <v>0</v>
      </c>
      <c r="K35" s="511">
        <f t="shared" si="2"/>
        <v>0</v>
      </c>
      <c r="L35" s="510">
        <v>0</v>
      </c>
      <c r="M35" s="511">
        <f t="shared" si="3"/>
        <v>0</v>
      </c>
      <c r="N35" s="510">
        <v>0</v>
      </c>
      <c r="O35" s="511">
        <f t="shared" si="4"/>
        <v>0</v>
      </c>
      <c r="P35" s="705">
        <v>50</v>
      </c>
      <c r="Q35" s="706">
        <f t="shared" si="5"/>
        <v>2820.605</v>
      </c>
      <c r="R35" s="707">
        <v>50</v>
      </c>
      <c r="S35" s="706">
        <f t="shared" si="6"/>
        <v>2820.605</v>
      </c>
      <c r="T35" s="708">
        <f>G35+I35+K35+S35+M35+O35+Q35</f>
        <v>5641.21</v>
      </c>
      <c r="U35" s="327">
        <f t="shared" si="8"/>
        <v>1</v>
      </c>
    </row>
    <row r="36" spans="2:21" ht="15.75" thickBot="1">
      <c r="B36" s="501" t="str">
        <f>Orçamento!B262</f>
        <v>20.00</v>
      </c>
      <c r="C36" s="507" t="str">
        <f>Orçamento!C262</f>
        <v>DIVERSOS</v>
      </c>
      <c r="D36" s="495">
        <f t="shared" si="0"/>
        <v>0.0220873682352543</v>
      </c>
      <c r="E36" s="498">
        <f>Orçamento!K262</f>
        <v>14987.410000000002</v>
      </c>
      <c r="F36" s="498">
        <v>0</v>
      </c>
      <c r="G36" s="524">
        <f t="shared" si="1"/>
        <v>0</v>
      </c>
      <c r="H36" s="512">
        <v>0</v>
      </c>
      <c r="I36" s="513">
        <f t="shared" si="9"/>
        <v>0</v>
      </c>
      <c r="J36" s="512">
        <v>25</v>
      </c>
      <c r="K36" s="513">
        <f t="shared" si="2"/>
        <v>3746.8525000000004</v>
      </c>
      <c r="L36" s="512">
        <v>25</v>
      </c>
      <c r="M36" s="513">
        <f t="shared" si="3"/>
        <v>3746.8525000000004</v>
      </c>
      <c r="N36" s="512">
        <v>0</v>
      </c>
      <c r="O36" s="513">
        <f t="shared" si="4"/>
        <v>0</v>
      </c>
      <c r="P36" s="512">
        <v>0</v>
      </c>
      <c r="Q36" s="513">
        <f t="shared" si="5"/>
        <v>0</v>
      </c>
      <c r="R36" s="516">
        <v>50</v>
      </c>
      <c r="S36" s="513">
        <f t="shared" si="6"/>
        <v>7493.705000000001</v>
      </c>
      <c r="T36" s="519">
        <f t="shared" si="7"/>
        <v>14987.410000000002</v>
      </c>
      <c r="U36" s="327">
        <f t="shared" si="8"/>
        <v>1</v>
      </c>
    </row>
    <row r="37" spans="2:20" ht="4.5" customHeight="1" thickBot="1">
      <c r="B37" s="529"/>
      <c r="C37" s="526"/>
      <c r="D37" s="531"/>
      <c r="E37" s="535"/>
      <c r="F37" s="535"/>
      <c r="G37" s="535"/>
      <c r="H37" s="531"/>
      <c r="I37" s="535"/>
      <c r="J37" s="535"/>
      <c r="K37" s="535"/>
      <c r="L37" s="535"/>
      <c r="M37" s="535"/>
      <c r="N37" s="535"/>
      <c r="O37" s="535"/>
      <c r="P37" s="535"/>
      <c r="Q37" s="535"/>
      <c r="R37" s="535"/>
      <c r="S37" s="535"/>
      <c r="T37" s="539"/>
    </row>
    <row r="38" spans="2:21" ht="15.75" thickBot="1">
      <c r="B38" s="530"/>
      <c r="C38" s="527" t="s">
        <v>28</v>
      </c>
      <c r="D38" s="532"/>
      <c r="E38" s="536">
        <f>SUM(E17:E36)</f>
        <v>678551.19</v>
      </c>
      <c r="F38" s="538"/>
      <c r="G38" s="538">
        <f>SUM(G17:G36)</f>
        <v>42694.439000000006</v>
      </c>
      <c r="H38" s="538"/>
      <c r="I38" s="536">
        <f>SUM(I17:I36)</f>
        <v>75051.52200000001</v>
      </c>
      <c r="J38" s="538"/>
      <c r="K38" s="538">
        <f>SUM(K17:K36)</f>
        <v>180981.145</v>
      </c>
      <c r="L38" s="538"/>
      <c r="M38" s="538">
        <f>SUM(M17:M36)</f>
        <v>130059.03099999999</v>
      </c>
      <c r="N38" s="538"/>
      <c r="O38" s="538">
        <f>SUM(O17:O36)</f>
        <v>141002.5615</v>
      </c>
      <c r="P38" s="538"/>
      <c r="Q38" s="538">
        <f>SUM(Q17:Q36)</f>
        <v>54098.598000000005</v>
      </c>
      <c r="R38" s="538"/>
      <c r="S38" s="538">
        <f>SUM(S17:S36)</f>
        <v>54663.89350000001</v>
      </c>
      <c r="T38" s="538">
        <f>SUM(T17:T36)</f>
        <v>678551.19</v>
      </c>
      <c r="U38" s="186">
        <f>SUM(G38:S38)</f>
        <v>678551.19</v>
      </c>
    </row>
    <row r="39" spans="2:20" ht="4.5" customHeight="1" thickBot="1">
      <c r="B39" s="526"/>
      <c r="C39" s="528"/>
      <c r="D39" s="533"/>
      <c r="E39" s="535"/>
      <c r="F39" s="539"/>
      <c r="G39" s="535"/>
      <c r="H39" s="533"/>
      <c r="I39" s="535"/>
      <c r="J39" s="535"/>
      <c r="K39" s="535"/>
      <c r="L39" s="535"/>
      <c r="M39" s="535"/>
      <c r="N39" s="535"/>
      <c r="O39" s="535"/>
      <c r="P39" s="535"/>
      <c r="Q39" s="535"/>
      <c r="R39" s="535"/>
      <c r="S39" s="535"/>
      <c r="T39" s="535"/>
    </row>
    <row r="40" spans="2:20" ht="15.75" thickBot="1">
      <c r="B40" s="530"/>
      <c r="C40" s="527" t="s">
        <v>29</v>
      </c>
      <c r="D40" s="534">
        <f>SUM(D17:D36)</f>
        <v>1.0000000000000002</v>
      </c>
      <c r="E40" s="537"/>
      <c r="F40" s="540">
        <f>G38/$E38</f>
        <v>0.06291999723705445</v>
      </c>
      <c r="G40" s="541"/>
      <c r="H40" s="540">
        <f>I38/$E38</f>
        <v>0.11060554178675897</v>
      </c>
      <c r="I40" s="541"/>
      <c r="J40" s="540">
        <f>K38/$E38</f>
        <v>0.2667170106945063</v>
      </c>
      <c r="K40" s="541"/>
      <c r="L40" s="540">
        <f>M38/$E38</f>
        <v>0.1916716570786649</v>
      </c>
      <c r="M40" s="541"/>
      <c r="N40" s="540">
        <f>O38/$E38</f>
        <v>0.2077994461994828</v>
      </c>
      <c r="O40" s="541"/>
      <c r="P40" s="540">
        <f>Q38/$E38</f>
        <v>0.07972662755185797</v>
      </c>
      <c r="Q40" s="541"/>
      <c r="R40" s="540">
        <f>S38/$E38</f>
        <v>0.0805597194516747</v>
      </c>
      <c r="S40" s="541"/>
      <c r="T40" s="542">
        <f>SUM(F40:R40)</f>
        <v>1</v>
      </c>
    </row>
    <row r="41" spans="2:22" ht="15">
      <c r="B41" s="44"/>
      <c r="C41" s="44"/>
      <c r="D41" s="45"/>
      <c r="E41" s="44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V41" s="186"/>
    </row>
    <row r="42" spans="2:20" ht="15">
      <c r="B42" s="44"/>
      <c r="C42" s="44"/>
      <c r="D42" s="45"/>
      <c r="E42" s="44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</row>
    <row r="43" spans="2:20" ht="15" customHeight="1">
      <c r="B43" s="759" t="str">
        <f>Orçamento!B276</f>
        <v>Teresina (PI), 23 de Abril de 2015</v>
      </c>
      <c r="C43" s="759"/>
      <c r="D43" s="46"/>
      <c r="E43" s="47"/>
      <c r="F43" s="48"/>
      <c r="G43" s="49"/>
      <c r="H43" s="48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45"/>
    </row>
    <row r="44" spans="2:20" ht="15">
      <c r="B44" s="51"/>
      <c r="C44" s="51"/>
      <c r="D44" s="46"/>
      <c r="E44" s="47"/>
      <c r="F44" s="48"/>
      <c r="G44" s="49"/>
      <c r="H44" s="48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45"/>
    </row>
    <row r="45" spans="2:20" ht="15">
      <c r="B45" s="52"/>
      <c r="C45" s="52"/>
      <c r="D45" s="53"/>
      <c r="E45" s="764"/>
      <c r="F45" s="764"/>
      <c r="G45" s="53"/>
      <c r="H45" s="54"/>
      <c r="I45" s="54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44"/>
    </row>
    <row r="46" spans="2:20" ht="15">
      <c r="B46" s="52"/>
      <c r="C46" s="52"/>
      <c r="D46" s="53"/>
      <c r="E46" s="56"/>
      <c r="F46" s="56"/>
      <c r="G46" s="57"/>
      <c r="H46" s="58"/>
      <c r="I46" s="58"/>
      <c r="J46" s="756"/>
      <c r="K46" s="756"/>
      <c r="L46" s="323"/>
      <c r="M46" s="323"/>
      <c r="N46" s="435"/>
      <c r="O46" s="435"/>
      <c r="P46" s="435"/>
      <c r="Q46" s="435"/>
      <c r="R46" s="191"/>
      <c r="S46" s="191"/>
      <c r="T46" s="45"/>
    </row>
    <row r="47" spans="2:20" ht="15">
      <c r="B47" s="52"/>
      <c r="C47" s="52"/>
      <c r="D47" s="53"/>
      <c r="E47" s="760"/>
      <c r="F47" s="760"/>
      <c r="G47" s="53"/>
      <c r="H47" s="270"/>
      <c r="I47" s="270"/>
      <c r="J47" s="756"/>
      <c r="K47" s="756"/>
      <c r="L47" s="323"/>
      <c r="M47" s="323"/>
      <c r="N47" s="435"/>
      <c r="O47" s="435"/>
      <c r="P47" s="435"/>
      <c r="Q47" s="435"/>
      <c r="R47" s="191"/>
      <c r="S47" s="191"/>
      <c r="T47" s="45"/>
    </row>
    <row r="48" spans="2:20" ht="15"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</row>
    <row r="49" spans="2:20" ht="15"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</row>
    <row r="50" spans="2:20" ht="15"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</row>
  </sheetData>
  <sheetProtection/>
  <mergeCells count="25">
    <mergeCell ref="F2:T3"/>
    <mergeCell ref="F4:T5"/>
    <mergeCell ref="F6:T7"/>
    <mergeCell ref="B9:E9"/>
    <mergeCell ref="B10:E10"/>
    <mergeCell ref="B12:T12"/>
    <mergeCell ref="E47:F47"/>
    <mergeCell ref="J47:K47"/>
    <mergeCell ref="F10:T10"/>
    <mergeCell ref="H14:I14"/>
    <mergeCell ref="E45:F45"/>
    <mergeCell ref="D14:D15"/>
    <mergeCell ref="F14:G14"/>
    <mergeCell ref="E14:E15"/>
    <mergeCell ref="L14:M14"/>
    <mergeCell ref="P14:Q14"/>
    <mergeCell ref="C14:C15"/>
    <mergeCell ref="F9:T9"/>
    <mergeCell ref="T14:T15"/>
    <mergeCell ref="J46:K46"/>
    <mergeCell ref="J14:K14"/>
    <mergeCell ref="B43:C43"/>
    <mergeCell ref="B14:B15"/>
    <mergeCell ref="R14:S14"/>
    <mergeCell ref="N14:O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U550"/>
  <sheetViews>
    <sheetView view="pageBreakPreview" zoomScale="71" zoomScaleNormal="80" zoomScaleSheetLayoutView="71" workbookViewId="0" topLeftCell="B13">
      <pane ySplit="525" topLeftCell="A4" activePane="bottomLeft" state="split"/>
      <selection pane="topLeft" activeCell="F6" sqref="F6:L7"/>
      <selection pane="bottomLeft" activeCell="F9" sqref="F9:L9"/>
    </sheetView>
  </sheetViews>
  <sheetFormatPr defaultColWidth="9.140625" defaultRowHeight="15"/>
  <cols>
    <col min="2" max="2" width="11.421875" style="0" customWidth="1"/>
    <col min="3" max="3" width="56.8515625" style="0" customWidth="1"/>
    <col min="4" max="4" width="8.140625" style="0" customWidth="1"/>
    <col min="5" max="5" width="53.421875" style="0" customWidth="1"/>
    <col min="6" max="6" width="29.421875" style="0" customWidth="1"/>
    <col min="7" max="10" width="16.7109375" style="0" customWidth="1"/>
    <col min="11" max="11" width="17.421875" style="0" customWidth="1"/>
    <col min="12" max="12" width="16.7109375" style="0" customWidth="1"/>
    <col min="14" max="14" width="17.140625" style="0" customWidth="1"/>
    <col min="18" max="18" width="15.00390625" style="0" customWidth="1"/>
  </cols>
  <sheetData>
    <row r="1" spans="2:14" ht="15.75" customHeight="1">
      <c r="B1" s="26"/>
      <c r="C1" s="20"/>
      <c r="D1" s="20"/>
      <c r="E1" s="20"/>
      <c r="F1" s="20"/>
      <c r="G1" s="27"/>
      <c r="H1" s="28"/>
      <c r="I1" s="28"/>
      <c r="J1" s="29"/>
      <c r="K1" s="29"/>
      <c r="L1" s="20"/>
      <c r="M1" s="20"/>
      <c r="N1" s="20"/>
    </row>
    <row r="2" spans="2:15" ht="18" customHeight="1">
      <c r="B2" s="775"/>
      <c r="C2" s="776"/>
      <c r="D2" s="775"/>
      <c r="E2" s="776"/>
      <c r="F2" s="781" t="s">
        <v>46</v>
      </c>
      <c r="G2" s="781"/>
      <c r="H2" s="781"/>
      <c r="I2" s="781"/>
      <c r="J2" s="781"/>
      <c r="K2" s="781"/>
      <c r="L2" s="782"/>
      <c r="M2" s="59"/>
      <c r="N2" s="59"/>
      <c r="O2" s="60"/>
    </row>
    <row r="3" spans="2:15" ht="18" customHeight="1">
      <c r="B3" s="777"/>
      <c r="C3" s="778"/>
      <c r="D3" s="777"/>
      <c r="E3" s="778"/>
      <c r="F3" s="783"/>
      <c r="G3" s="783"/>
      <c r="H3" s="783"/>
      <c r="I3" s="783"/>
      <c r="J3" s="783"/>
      <c r="K3" s="783"/>
      <c r="L3" s="784"/>
      <c r="M3" s="59"/>
      <c r="N3" s="59"/>
      <c r="O3" s="60"/>
    </row>
    <row r="4" spans="2:15" ht="18" customHeight="1">
      <c r="B4" s="777"/>
      <c r="C4" s="778"/>
      <c r="D4" s="777"/>
      <c r="E4" s="778"/>
      <c r="F4" s="786" t="s">
        <v>47</v>
      </c>
      <c r="G4" s="786"/>
      <c r="H4" s="786"/>
      <c r="I4" s="786"/>
      <c r="J4" s="786"/>
      <c r="K4" s="786"/>
      <c r="L4" s="787"/>
      <c r="M4" s="61"/>
      <c r="N4" s="61"/>
      <c r="O4" s="60"/>
    </row>
    <row r="5" spans="2:21" ht="18" customHeight="1">
      <c r="B5" s="777"/>
      <c r="C5" s="778"/>
      <c r="D5" s="777"/>
      <c r="E5" s="778"/>
      <c r="F5" s="788"/>
      <c r="G5" s="788"/>
      <c r="H5" s="788"/>
      <c r="I5" s="788"/>
      <c r="J5" s="788"/>
      <c r="K5" s="788"/>
      <c r="L5" s="789"/>
      <c r="M5" s="61"/>
      <c r="N5" s="61"/>
      <c r="O5" s="60"/>
      <c r="P5" s="60"/>
      <c r="Q5" s="60"/>
      <c r="R5" s="60"/>
      <c r="S5" s="60"/>
      <c r="T5" s="60"/>
      <c r="U5" s="60"/>
    </row>
    <row r="6" spans="2:21" ht="18" customHeight="1">
      <c r="B6" s="777"/>
      <c r="C6" s="778"/>
      <c r="D6" s="777"/>
      <c r="E6" s="778"/>
      <c r="F6" s="790" t="s">
        <v>34</v>
      </c>
      <c r="G6" s="790"/>
      <c r="H6" s="790"/>
      <c r="I6" s="790"/>
      <c r="J6" s="790"/>
      <c r="K6" s="790"/>
      <c r="L6" s="791"/>
      <c r="M6" s="62"/>
      <c r="N6" s="62"/>
      <c r="O6" s="60"/>
      <c r="P6" s="60"/>
      <c r="Q6" s="60"/>
      <c r="R6" s="60"/>
      <c r="S6" s="60"/>
      <c r="T6" s="60"/>
      <c r="U6" s="60"/>
    </row>
    <row r="7" spans="2:21" ht="18" customHeight="1">
      <c r="B7" s="779"/>
      <c r="C7" s="780"/>
      <c r="D7" s="779"/>
      <c r="E7" s="780"/>
      <c r="F7" s="792"/>
      <c r="G7" s="792"/>
      <c r="H7" s="792"/>
      <c r="I7" s="792"/>
      <c r="J7" s="792"/>
      <c r="K7" s="792"/>
      <c r="L7" s="793"/>
      <c r="M7" s="62"/>
      <c r="N7" s="62"/>
      <c r="O7" s="60"/>
      <c r="P7" s="60"/>
      <c r="Q7" s="794"/>
      <c r="R7" s="794"/>
      <c r="S7" s="794"/>
      <c r="T7" s="794"/>
      <c r="U7" s="60"/>
    </row>
    <row r="8" spans="2:20" s="66" customFormat="1" ht="4.5" customHeight="1">
      <c r="B8" s="63"/>
      <c r="C8" s="63"/>
      <c r="D8" s="63"/>
      <c r="E8" s="63"/>
      <c r="F8" s="64"/>
      <c r="G8" s="64"/>
      <c r="H8" s="64"/>
      <c r="I8" s="64"/>
      <c r="J8" s="64"/>
      <c r="K8" s="64"/>
      <c r="L8" s="64"/>
      <c r="M8" s="65"/>
      <c r="N8" s="65"/>
      <c r="Q8" s="794"/>
      <c r="R8" s="794"/>
      <c r="S8" s="794"/>
      <c r="T8" s="794"/>
    </row>
    <row r="9" spans="2:21" ht="24" customHeight="1">
      <c r="B9" s="795" t="s">
        <v>106</v>
      </c>
      <c r="C9" s="795"/>
      <c r="D9" s="795"/>
      <c r="E9" s="795"/>
      <c r="F9" s="796" t="s">
        <v>1065</v>
      </c>
      <c r="G9" s="796"/>
      <c r="H9" s="796"/>
      <c r="I9" s="796"/>
      <c r="J9" s="796"/>
      <c r="K9" s="796"/>
      <c r="L9" s="796"/>
      <c r="M9" s="67"/>
      <c r="N9" s="67"/>
      <c r="O9" s="60"/>
      <c r="P9" s="60"/>
      <c r="Q9" s="794"/>
      <c r="R9" s="794"/>
      <c r="S9" s="794"/>
      <c r="T9" s="794"/>
      <c r="U9" s="60"/>
    </row>
    <row r="10" spans="2:21" ht="24" customHeight="1">
      <c r="B10" s="797" t="s">
        <v>107</v>
      </c>
      <c r="C10" s="795"/>
      <c r="D10" s="795"/>
      <c r="E10" s="795"/>
      <c r="F10" s="798" t="s">
        <v>585</v>
      </c>
      <c r="G10" s="798"/>
      <c r="H10" s="798"/>
      <c r="I10" s="798"/>
      <c r="J10" s="798"/>
      <c r="K10" s="798"/>
      <c r="L10" s="798"/>
      <c r="M10" s="68"/>
      <c r="N10" s="68"/>
      <c r="O10" s="60"/>
      <c r="P10" s="60"/>
      <c r="Q10" s="794"/>
      <c r="R10" s="794"/>
      <c r="S10" s="794"/>
      <c r="T10" s="794"/>
      <c r="U10" s="60"/>
    </row>
    <row r="11" spans="2:21" ht="4.5" customHeight="1" thickBot="1">
      <c r="B11" s="183"/>
      <c r="C11" s="184"/>
      <c r="D11" s="184"/>
      <c r="E11" s="184"/>
      <c r="F11" s="184"/>
      <c r="G11" s="184"/>
      <c r="H11" s="184"/>
      <c r="I11" s="184"/>
      <c r="J11" s="184"/>
      <c r="K11" s="184"/>
      <c r="L11" s="185"/>
      <c r="P11" s="60"/>
      <c r="Q11" s="794"/>
      <c r="R11" s="794"/>
      <c r="S11" s="794"/>
      <c r="T11" s="794"/>
      <c r="U11" s="60"/>
    </row>
    <row r="12" spans="2:21" ht="24.75" customHeight="1" thickBot="1">
      <c r="B12" s="772" t="s">
        <v>51</v>
      </c>
      <c r="C12" s="773"/>
      <c r="D12" s="773"/>
      <c r="E12" s="773"/>
      <c r="F12" s="773"/>
      <c r="G12" s="773"/>
      <c r="H12" s="773"/>
      <c r="I12" s="773"/>
      <c r="J12" s="773"/>
      <c r="K12" s="773"/>
      <c r="L12" s="774"/>
      <c r="M12" s="69"/>
      <c r="N12" s="69"/>
      <c r="P12" s="60"/>
      <c r="Q12" s="794"/>
      <c r="R12" s="794"/>
      <c r="S12" s="794"/>
      <c r="T12" s="794"/>
      <c r="U12" s="60"/>
    </row>
    <row r="13" spans="2:20" s="60" customFormat="1" ht="4.5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69"/>
      <c r="N13" s="69"/>
      <c r="Q13" s="794"/>
      <c r="R13" s="794"/>
      <c r="S13" s="794"/>
      <c r="T13" s="794"/>
    </row>
    <row r="14" spans="2:21" ht="18" customHeight="1">
      <c r="B14" s="491" t="s">
        <v>15</v>
      </c>
      <c r="C14" s="75" t="s">
        <v>16</v>
      </c>
      <c r="D14" s="75" t="s">
        <v>48</v>
      </c>
      <c r="E14" s="76" t="s">
        <v>52</v>
      </c>
      <c r="F14" s="492" t="s">
        <v>132</v>
      </c>
      <c r="G14" s="492" t="s">
        <v>53</v>
      </c>
      <c r="H14" s="492" t="s">
        <v>54</v>
      </c>
      <c r="I14" s="77" t="s">
        <v>55</v>
      </c>
      <c r="J14" s="492" t="s">
        <v>56</v>
      </c>
      <c r="K14" s="77" t="s">
        <v>133</v>
      </c>
      <c r="L14" s="78" t="s">
        <v>14</v>
      </c>
      <c r="M14" s="69"/>
      <c r="N14" s="69"/>
      <c r="P14" s="60"/>
      <c r="Q14" s="794"/>
      <c r="R14" s="794"/>
      <c r="S14" s="794"/>
      <c r="T14" s="794"/>
      <c r="U14" s="60"/>
    </row>
    <row r="15" spans="2:20" s="66" customFormat="1" ht="4.5" customHeight="1">
      <c r="B15" s="72"/>
      <c r="C15" s="72"/>
      <c r="D15" s="72"/>
      <c r="E15" s="72"/>
      <c r="F15" s="73"/>
      <c r="G15" s="73"/>
      <c r="H15" s="73"/>
      <c r="I15" s="73"/>
      <c r="J15" s="73"/>
      <c r="K15" s="73"/>
      <c r="L15" s="73"/>
      <c r="M15" s="71"/>
      <c r="N15" s="71"/>
      <c r="Q15" s="794"/>
      <c r="R15" s="794"/>
      <c r="S15" s="794"/>
      <c r="T15" s="794"/>
    </row>
    <row r="16" spans="2:20" s="66" customFormat="1" ht="18" customHeight="1">
      <c r="B16" s="374" t="str">
        <f>Orçamento!B35</f>
        <v>3.00</v>
      </c>
      <c r="C16" s="75" t="str">
        <f>Orçamento!C35</f>
        <v>SUPERESTRUTURA</v>
      </c>
      <c r="D16" s="75"/>
      <c r="E16" s="76"/>
      <c r="F16" s="77"/>
      <c r="G16" s="77"/>
      <c r="H16" s="77"/>
      <c r="I16" s="77"/>
      <c r="J16" s="77"/>
      <c r="K16" s="77"/>
      <c r="L16" s="78"/>
      <c r="M16" s="71"/>
      <c r="N16" s="71"/>
      <c r="Q16" s="355"/>
      <c r="R16" s="355"/>
      <c r="S16" s="355"/>
      <c r="T16" s="355"/>
    </row>
    <row r="17" spans="2:20" s="66" customFormat="1" ht="72">
      <c r="B17" s="290" t="str">
        <f>Orçamento!B39</f>
        <v>3.4</v>
      </c>
      <c r="C17" s="109" t="str">
        <f>Orçamento!C39</f>
        <v>Laje pre-mold beta 12 p/3,5kn/m2 vao 4,1m incl vigotas tijolos armaduranegativa capeamento 3cm concreto 20mpa escoramento materiais e mao de obra</v>
      </c>
      <c r="D17" s="434" t="s">
        <v>38</v>
      </c>
      <c r="E17" s="110"/>
      <c r="F17" s="111"/>
      <c r="G17" s="111"/>
      <c r="H17" s="111"/>
      <c r="I17" s="111"/>
      <c r="J17" s="111"/>
      <c r="K17" s="111"/>
      <c r="L17" s="112"/>
      <c r="M17" s="71"/>
      <c r="N17" s="71"/>
      <c r="Q17" s="355"/>
      <c r="R17" s="355"/>
      <c r="S17" s="355"/>
      <c r="T17" s="355"/>
    </row>
    <row r="18" spans="2:20" s="66" customFormat="1" ht="18.75">
      <c r="B18" s="292"/>
      <c r="C18" s="126"/>
      <c r="D18" s="192"/>
      <c r="E18" s="126" t="s">
        <v>510</v>
      </c>
      <c r="F18" s="131"/>
      <c r="G18" s="131"/>
      <c r="H18" s="131"/>
      <c r="I18" s="88">
        <v>280.2</v>
      </c>
      <c r="J18" s="131"/>
      <c r="K18" s="131"/>
      <c r="L18" s="89">
        <f>I18</f>
        <v>280.2</v>
      </c>
      <c r="M18" s="71"/>
      <c r="N18" s="71"/>
      <c r="Q18" s="355"/>
      <c r="R18" s="355"/>
      <c r="S18" s="355"/>
      <c r="T18" s="355"/>
    </row>
    <row r="19" spans="2:20" s="66" customFormat="1" ht="18" customHeight="1">
      <c r="B19" s="375"/>
      <c r="C19" s="192"/>
      <c r="D19" s="192"/>
      <c r="E19" s="126" t="s">
        <v>509</v>
      </c>
      <c r="F19" s="88">
        <v>3.85</v>
      </c>
      <c r="G19" s="88">
        <v>3.3</v>
      </c>
      <c r="H19" s="88"/>
      <c r="I19" s="88">
        <f>F19*G19</f>
        <v>12.705</v>
      </c>
      <c r="J19" s="131"/>
      <c r="K19" s="131"/>
      <c r="L19" s="89">
        <f>I19</f>
        <v>12.705</v>
      </c>
      <c r="M19" s="71"/>
      <c r="N19" s="71"/>
      <c r="Q19" s="355"/>
      <c r="R19" s="355"/>
      <c r="S19" s="355"/>
      <c r="T19" s="355"/>
    </row>
    <row r="20" spans="2:20" s="66" customFormat="1" ht="18" customHeight="1">
      <c r="B20" s="376"/>
      <c r="C20" s="125"/>
      <c r="D20" s="125"/>
      <c r="E20" s="125"/>
      <c r="F20" s="114"/>
      <c r="G20" s="114"/>
      <c r="H20" s="114"/>
      <c r="I20" s="114"/>
      <c r="J20" s="114"/>
      <c r="K20" s="114"/>
      <c r="L20" s="97">
        <f>SUM(L18:L19)</f>
        <v>292.905</v>
      </c>
      <c r="M20" s="71"/>
      <c r="N20" s="71"/>
      <c r="Q20" s="355"/>
      <c r="R20" s="355"/>
      <c r="S20" s="355"/>
      <c r="T20" s="355"/>
    </row>
    <row r="21" spans="2:12" ht="18">
      <c r="B21" s="604" t="str">
        <f>Orçamento!B40</f>
        <v>4.00</v>
      </c>
      <c r="C21" s="605" t="str">
        <f>Orçamento!C40</f>
        <v>PAREDES E PAINÉIS</v>
      </c>
      <c r="D21" s="605"/>
      <c r="E21" s="618"/>
      <c r="F21" s="619"/>
      <c r="G21" s="619"/>
      <c r="H21" s="619"/>
      <c r="I21" s="606"/>
      <c r="J21" s="619"/>
      <c r="K21" s="606"/>
      <c r="L21" s="620"/>
    </row>
    <row r="22" spans="2:12" ht="54">
      <c r="B22" s="709" t="str">
        <f>Orçamento!B41</f>
        <v>4.1</v>
      </c>
      <c r="C22" s="409" t="str">
        <f>Orçamento!C41</f>
        <v>Alvenaria de tijolo cerâmico furado (9x19x19)cm c/argamassa mista de cal hidratada esp.=9cm (1:2:8), junta 1cm </v>
      </c>
      <c r="D22" s="87" t="s">
        <v>38</v>
      </c>
      <c r="E22" s="192"/>
      <c r="F22" s="131"/>
      <c r="G22" s="131"/>
      <c r="H22" s="131"/>
      <c r="I22" s="131"/>
      <c r="J22" s="131"/>
      <c r="K22" s="131"/>
      <c r="L22" s="272"/>
    </row>
    <row r="23" spans="2:12" ht="18">
      <c r="B23" s="377"/>
      <c r="C23" s="86"/>
      <c r="D23" s="132"/>
      <c r="E23" s="134" t="s">
        <v>512</v>
      </c>
      <c r="F23" s="131"/>
      <c r="G23" s="131"/>
      <c r="H23" s="131"/>
      <c r="I23" s="88">
        <f>338.54+354.48</f>
        <v>693.02</v>
      </c>
      <c r="J23" s="131"/>
      <c r="K23" s="131"/>
      <c r="L23" s="89">
        <f>I23</f>
        <v>693.02</v>
      </c>
    </row>
    <row r="24" spans="2:12" ht="18">
      <c r="B24" s="377"/>
      <c r="C24" s="86"/>
      <c r="D24" s="132"/>
      <c r="E24" s="134" t="s">
        <v>513</v>
      </c>
      <c r="F24" s="131"/>
      <c r="G24" s="131"/>
      <c r="H24" s="131"/>
      <c r="I24" s="88">
        <f>8.42+8.98+8.72</f>
        <v>26.119999999999997</v>
      </c>
      <c r="J24" s="131"/>
      <c r="K24" s="131"/>
      <c r="L24" s="89">
        <f>I24</f>
        <v>26.119999999999997</v>
      </c>
    </row>
    <row r="25" spans="2:12" ht="18">
      <c r="B25" s="150"/>
      <c r="C25" s="116"/>
      <c r="D25" s="116"/>
      <c r="E25" s="125"/>
      <c r="F25" s="114"/>
      <c r="G25" s="114"/>
      <c r="H25" s="114"/>
      <c r="I25" s="114"/>
      <c r="J25" s="114"/>
      <c r="K25" s="114"/>
      <c r="L25" s="97">
        <f>L23-L24</f>
        <v>666.9</v>
      </c>
    </row>
    <row r="26" spans="2:12" ht="18">
      <c r="B26" s="611" t="str">
        <f>Orçamento!B48</f>
        <v>4.4</v>
      </c>
      <c r="C26" s="612" t="str">
        <f>Orçamento!C48</f>
        <v>Platibanda CPN</v>
      </c>
      <c r="D26" s="612"/>
      <c r="E26" s="613"/>
      <c r="F26" s="614"/>
      <c r="G26" s="614"/>
      <c r="H26" s="614"/>
      <c r="I26" s="614"/>
      <c r="J26" s="614"/>
      <c r="K26" s="614"/>
      <c r="L26" s="615"/>
    </row>
    <row r="27" spans="2:12" ht="54">
      <c r="B27" s="85" t="str">
        <f>Orçamento!B49</f>
        <v>4.4.1</v>
      </c>
      <c r="C27" s="86" t="str">
        <f>Orçamento!C49</f>
        <v>Alvenaria de tijolo cerâmico furado (9x19x19)cm c/argamassa mista de cal hidratada esp.=9cm (1:2:8), junta 1cm </v>
      </c>
      <c r="D27" s="87" t="s">
        <v>38</v>
      </c>
      <c r="E27" s="98"/>
      <c r="F27" s="88"/>
      <c r="G27" s="88"/>
      <c r="H27" s="88"/>
      <c r="I27" s="88"/>
      <c r="J27" s="88"/>
      <c r="K27" s="90"/>
      <c r="L27" s="99"/>
    </row>
    <row r="28" spans="2:12" ht="18">
      <c r="B28" s="85"/>
      <c r="C28" s="86"/>
      <c r="D28" s="87"/>
      <c r="E28" s="98" t="s">
        <v>508</v>
      </c>
      <c r="F28" s="88">
        <v>65.9</v>
      </c>
      <c r="G28" s="88"/>
      <c r="H28" s="88">
        <v>1.7</v>
      </c>
      <c r="I28" s="88">
        <f>F28*H28</f>
        <v>112.03</v>
      </c>
      <c r="J28" s="88"/>
      <c r="K28" s="88"/>
      <c r="L28" s="89">
        <f>I28</f>
        <v>112.03</v>
      </c>
    </row>
    <row r="29" spans="2:12" ht="18">
      <c r="B29" s="85"/>
      <c r="C29" s="86"/>
      <c r="D29" s="87"/>
      <c r="E29" s="129" t="s">
        <v>511</v>
      </c>
      <c r="F29" s="88">
        <v>2</v>
      </c>
      <c r="G29" s="88"/>
      <c r="H29" s="88">
        <v>2.17</v>
      </c>
      <c r="I29" s="88">
        <f>F29*H29</f>
        <v>4.34</v>
      </c>
      <c r="J29" s="88"/>
      <c r="K29" s="88"/>
      <c r="L29" s="89">
        <f>I29</f>
        <v>4.34</v>
      </c>
    </row>
    <row r="30" spans="2:12" ht="18">
      <c r="B30" s="91"/>
      <c r="C30" s="92"/>
      <c r="D30" s="93"/>
      <c r="E30" s="101"/>
      <c r="F30" s="95"/>
      <c r="G30" s="95"/>
      <c r="H30" s="95"/>
      <c r="I30" s="95"/>
      <c r="J30" s="95"/>
      <c r="K30" s="96"/>
      <c r="L30" s="97">
        <f>SUM(L28:L29)</f>
        <v>116.37</v>
      </c>
    </row>
    <row r="31" spans="2:12" ht="47.25" customHeight="1">
      <c r="B31" s="616" t="str">
        <f>Orçamento!B50</f>
        <v>4.4.2</v>
      </c>
      <c r="C31" s="617" t="str">
        <f>Orçamento!C50</f>
        <v>Cintas e pilaretes de concreto armado</v>
      </c>
      <c r="D31" s="87" t="s">
        <v>739</v>
      </c>
      <c r="E31" s="100"/>
      <c r="F31" s="83"/>
      <c r="G31" s="83"/>
      <c r="H31" s="83"/>
      <c r="I31" s="83"/>
      <c r="J31" s="83"/>
      <c r="K31" s="82"/>
      <c r="L31" s="84"/>
    </row>
    <row r="32" spans="2:12" ht="18">
      <c r="B32" s="85"/>
      <c r="C32" s="274"/>
      <c r="D32" s="87"/>
      <c r="E32" s="98" t="s">
        <v>514</v>
      </c>
      <c r="F32" s="88">
        <v>0.15</v>
      </c>
      <c r="G32" s="88">
        <v>0.15</v>
      </c>
      <c r="H32" s="88">
        <v>1.7</v>
      </c>
      <c r="I32" s="88"/>
      <c r="J32" s="88">
        <f>F32*G32*H32</f>
        <v>0.03825</v>
      </c>
      <c r="K32" s="88">
        <v>23</v>
      </c>
      <c r="L32" s="89">
        <f>J32*K32</f>
        <v>0.87975</v>
      </c>
    </row>
    <row r="33" spans="2:12" ht="18">
      <c r="B33" s="85"/>
      <c r="C33" s="274"/>
      <c r="D33" s="87"/>
      <c r="E33" s="98" t="s">
        <v>85</v>
      </c>
      <c r="F33" s="88">
        <v>65.9</v>
      </c>
      <c r="G33" s="88">
        <v>0.1</v>
      </c>
      <c r="H33" s="88">
        <v>0.15</v>
      </c>
      <c r="I33" s="88"/>
      <c r="J33" s="88">
        <f>F33*G33*H33</f>
        <v>0.9885</v>
      </c>
      <c r="K33" s="90"/>
      <c r="L33" s="89">
        <f>J33</f>
        <v>0.9885</v>
      </c>
    </row>
    <row r="34" spans="2:12" ht="18">
      <c r="B34" s="91"/>
      <c r="C34" s="93"/>
      <c r="D34" s="93"/>
      <c r="E34" s="101"/>
      <c r="F34" s="95"/>
      <c r="G34" s="95"/>
      <c r="H34" s="95"/>
      <c r="I34" s="95"/>
      <c r="J34" s="95"/>
      <c r="K34" s="96"/>
      <c r="L34" s="97">
        <f>SUM(L32:L33)</f>
        <v>1.8682500000000002</v>
      </c>
    </row>
    <row r="35" spans="2:12" ht="18">
      <c r="B35" s="74" t="str">
        <f>Orçamento!B51</f>
        <v>5.00</v>
      </c>
      <c r="C35" s="75" t="str">
        <f>Orçamento!C51</f>
        <v>COBERTURA</v>
      </c>
      <c r="D35" s="75"/>
      <c r="E35" s="76"/>
      <c r="F35" s="77"/>
      <c r="G35" s="77"/>
      <c r="H35" s="77"/>
      <c r="I35" s="77"/>
      <c r="J35" s="77"/>
      <c r="K35" s="77"/>
      <c r="L35" s="78"/>
    </row>
    <row r="36" spans="2:12" ht="36">
      <c r="B36" s="121" t="str">
        <f>Orçamento!B52</f>
        <v>5.1</v>
      </c>
      <c r="C36" s="122" t="str">
        <f>Orçamento!C52</f>
        <v>Estrutura metálica em tesouras ou treliças, vão livre de 12m, fornecimento e montagem</v>
      </c>
      <c r="D36" s="278" t="s">
        <v>38</v>
      </c>
      <c r="E36" s="136"/>
      <c r="F36" s="137"/>
      <c r="G36" s="137"/>
      <c r="H36" s="137"/>
      <c r="I36" s="137"/>
      <c r="J36" s="137"/>
      <c r="K36" s="137"/>
      <c r="L36" s="138"/>
    </row>
    <row r="37" spans="2:12" ht="18">
      <c r="B37" s="117"/>
      <c r="C37" s="118"/>
      <c r="D37" s="187"/>
      <c r="E37" s="283"/>
      <c r="F37" s="282"/>
      <c r="G37" s="282"/>
      <c r="H37" s="282"/>
      <c r="I37" s="282"/>
      <c r="J37" s="282"/>
      <c r="K37" s="282"/>
      <c r="L37" s="378"/>
    </row>
    <row r="38" spans="2:12" ht="18">
      <c r="B38" s="117"/>
      <c r="C38" s="118"/>
      <c r="D38" s="187"/>
      <c r="E38" s="118" t="s">
        <v>515</v>
      </c>
      <c r="F38" s="88">
        <v>24.95</v>
      </c>
      <c r="G38" s="88">
        <v>5.1</v>
      </c>
      <c r="H38" s="282"/>
      <c r="I38" s="88">
        <f>F38*G38</f>
        <v>127.24499999999999</v>
      </c>
      <c r="J38" s="282"/>
      <c r="K38" s="88">
        <v>2</v>
      </c>
      <c r="L38" s="89">
        <f>I38*K38-8.35</f>
        <v>246.14</v>
      </c>
    </row>
    <row r="39" spans="2:12" ht="18">
      <c r="B39" s="135"/>
      <c r="C39" s="124"/>
      <c r="D39" s="279"/>
      <c r="E39" s="124"/>
      <c r="F39" s="139"/>
      <c r="G39" s="139"/>
      <c r="H39" s="139"/>
      <c r="I39" s="273"/>
      <c r="J39" s="139"/>
      <c r="K39" s="139"/>
      <c r="L39" s="280">
        <f>L38</f>
        <v>246.14</v>
      </c>
    </row>
    <row r="40" spans="2:12" ht="90">
      <c r="B40" s="117" t="str">
        <f>Orçamento!B53</f>
        <v>5.2</v>
      </c>
      <c r="C40" s="118" t="str">
        <f>Orçamento!C53</f>
        <v>Telhamento com telha de alumínio dupla, trapezoidal, tipo sanduíche 0,6mm pré pintada em duas faces, com isolamento de espuma rígida de poliuretano 30mm pintada (termoacústica)</v>
      </c>
      <c r="D40" s="187" t="s">
        <v>38</v>
      </c>
      <c r="E40" s="136"/>
      <c r="F40" s="137"/>
      <c r="G40" s="137"/>
      <c r="H40" s="137"/>
      <c r="I40" s="137"/>
      <c r="J40" s="137"/>
      <c r="K40" s="137"/>
      <c r="L40" s="141"/>
    </row>
    <row r="41" spans="2:12" ht="18">
      <c r="B41" s="117"/>
      <c r="C41" s="118"/>
      <c r="D41" s="187"/>
      <c r="E41" s="118" t="s">
        <v>515</v>
      </c>
      <c r="F41" s="88">
        <v>24.95</v>
      </c>
      <c r="G41" s="88">
        <v>5.1</v>
      </c>
      <c r="H41" s="282"/>
      <c r="I41" s="88">
        <f>F41*G41</f>
        <v>127.24499999999999</v>
      </c>
      <c r="J41" s="282"/>
      <c r="K41" s="88">
        <v>2</v>
      </c>
      <c r="L41" s="89">
        <f>I41*K41-8.35</f>
        <v>246.14</v>
      </c>
    </row>
    <row r="42" spans="2:12" ht="18">
      <c r="B42" s="119"/>
      <c r="C42" s="124"/>
      <c r="D42" s="120"/>
      <c r="E42" s="124"/>
      <c r="F42" s="139"/>
      <c r="G42" s="139"/>
      <c r="H42" s="139"/>
      <c r="I42" s="273"/>
      <c r="J42" s="139"/>
      <c r="K42" s="139"/>
      <c r="L42" s="280">
        <f>L41</f>
        <v>246.14</v>
      </c>
    </row>
    <row r="43" spans="2:12" ht="39.75" customHeight="1">
      <c r="B43" s="154" t="str">
        <f>Orçamento!B54</f>
        <v>5.3</v>
      </c>
      <c r="C43" s="285" t="str">
        <f>Orçamento!C54</f>
        <v>Rufo em concreto armado, largura 40cm, espessura 3cm</v>
      </c>
      <c r="D43" s="278" t="s">
        <v>33</v>
      </c>
      <c r="E43" s="136"/>
      <c r="F43" s="137"/>
      <c r="G43" s="137"/>
      <c r="H43" s="137"/>
      <c r="I43" s="137"/>
      <c r="J43" s="137"/>
      <c r="K43" s="137"/>
      <c r="L43" s="141"/>
    </row>
    <row r="44" spans="2:12" ht="18">
      <c r="B44" s="155"/>
      <c r="C44" s="145"/>
      <c r="D44" s="187"/>
      <c r="E44" s="118" t="s">
        <v>99</v>
      </c>
      <c r="F44" s="88">
        <v>70</v>
      </c>
      <c r="G44" s="282"/>
      <c r="H44" s="282"/>
      <c r="I44" s="282"/>
      <c r="J44" s="282"/>
      <c r="K44" s="282"/>
      <c r="L44" s="89">
        <f>F44</f>
        <v>70</v>
      </c>
    </row>
    <row r="45" spans="2:12" ht="18">
      <c r="B45" s="155"/>
      <c r="C45" s="145"/>
      <c r="D45" s="187"/>
      <c r="E45" s="118" t="s">
        <v>733</v>
      </c>
      <c r="F45" s="88">
        <v>5.5</v>
      </c>
      <c r="G45" s="282"/>
      <c r="H45" s="282"/>
      <c r="I45" s="282"/>
      <c r="J45" s="282"/>
      <c r="K45" s="282"/>
      <c r="L45" s="89">
        <f>F45</f>
        <v>5.5</v>
      </c>
    </row>
    <row r="46" spans="2:12" ht="18">
      <c r="B46" s="151"/>
      <c r="C46" s="271"/>
      <c r="D46" s="286"/>
      <c r="E46" s="124"/>
      <c r="F46" s="95"/>
      <c r="G46" s="139"/>
      <c r="H46" s="139"/>
      <c r="I46" s="273"/>
      <c r="J46" s="139"/>
      <c r="K46" s="139"/>
      <c r="L46" s="287">
        <f>SUM(L44:L45)</f>
        <v>75.5</v>
      </c>
    </row>
    <row r="47" spans="2:12" ht="18">
      <c r="B47" s="155" t="str">
        <f>Orçamento!B55</f>
        <v>5.4</v>
      </c>
      <c r="C47" s="145" t="str">
        <f>Orçamento!C55</f>
        <v>Chapim de concreto pré-moladado</v>
      </c>
      <c r="D47" s="187" t="s">
        <v>33</v>
      </c>
      <c r="E47" s="283"/>
      <c r="F47" s="282"/>
      <c r="G47" s="282"/>
      <c r="H47" s="282"/>
      <c r="I47" s="282"/>
      <c r="J47" s="282"/>
      <c r="K47" s="282"/>
      <c r="L47" s="284"/>
    </row>
    <row r="48" spans="2:12" ht="18">
      <c r="B48" s="155"/>
      <c r="C48" s="145"/>
      <c r="D48" s="281"/>
      <c r="E48" s="118" t="s">
        <v>99</v>
      </c>
      <c r="F48" s="88">
        <v>83.31</v>
      </c>
      <c r="G48" s="282"/>
      <c r="H48" s="282"/>
      <c r="I48" s="123"/>
      <c r="J48" s="282"/>
      <c r="K48" s="282"/>
      <c r="L48" s="432">
        <f>F48</f>
        <v>83.31</v>
      </c>
    </row>
    <row r="49" spans="2:12" ht="18">
      <c r="B49" s="155"/>
      <c r="C49" s="145"/>
      <c r="D49" s="281"/>
      <c r="E49" s="118" t="s">
        <v>734</v>
      </c>
      <c r="F49" s="88">
        <v>48.45</v>
      </c>
      <c r="G49" s="282"/>
      <c r="H49" s="282"/>
      <c r="I49" s="123"/>
      <c r="J49" s="282"/>
      <c r="K49" s="282"/>
      <c r="L49" s="432">
        <f>F49</f>
        <v>48.45</v>
      </c>
    </row>
    <row r="50" spans="2:12" ht="18">
      <c r="B50" s="155"/>
      <c r="C50" s="145"/>
      <c r="D50" s="281"/>
      <c r="E50" s="118"/>
      <c r="F50" s="88"/>
      <c r="G50" s="282"/>
      <c r="H50" s="282"/>
      <c r="I50" s="123"/>
      <c r="J50" s="282"/>
      <c r="K50" s="282"/>
      <c r="L50" s="280">
        <f>SUM(L48:L49)</f>
        <v>131.76</v>
      </c>
    </row>
    <row r="51" spans="2:12" ht="72">
      <c r="B51" s="433" t="str">
        <f>Orçamento!B56</f>
        <v>5.5</v>
      </c>
      <c r="C51" s="285" t="str">
        <f>Orçamento!C56</f>
        <v>Impermeabilização de Laje com manta asfáltica protegida filme de alumínio gofrado (de espessura 0,8mm), inclusa aplicação de emulsão asfaltica, E=3mm</v>
      </c>
      <c r="D51" s="278" t="s">
        <v>38</v>
      </c>
      <c r="E51" s="122"/>
      <c r="F51" s="83"/>
      <c r="G51" s="137"/>
      <c r="H51" s="137"/>
      <c r="I51" s="429"/>
      <c r="J51" s="137"/>
      <c r="K51" s="137"/>
      <c r="L51" s="430"/>
    </row>
    <row r="52" spans="2:12" ht="18">
      <c r="B52" s="155"/>
      <c r="C52" s="145"/>
      <c r="D52" s="281"/>
      <c r="E52" s="118" t="s">
        <v>735</v>
      </c>
      <c r="F52" s="88">
        <v>4.15</v>
      </c>
      <c r="G52" s="88">
        <v>3.45</v>
      </c>
      <c r="H52" s="282"/>
      <c r="I52" s="123">
        <f>F52*G52</f>
        <v>14.317500000000003</v>
      </c>
      <c r="J52" s="282"/>
      <c r="K52" s="282"/>
      <c r="L52" s="432">
        <f>I52</f>
        <v>14.317500000000003</v>
      </c>
    </row>
    <row r="53" spans="2:12" ht="18">
      <c r="B53" s="151"/>
      <c r="C53" s="271"/>
      <c r="D53" s="286"/>
      <c r="E53" s="124"/>
      <c r="F53" s="95"/>
      <c r="G53" s="139"/>
      <c r="H53" s="139"/>
      <c r="I53" s="273"/>
      <c r="J53" s="139"/>
      <c r="K53" s="139"/>
      <c r="L53" s="287">
        <f>SUM(L52:L52)</f>
        <v>14.317500000000003</v>
      </c>
    </row>
    <row r="54" spans="2:12" ht="18">
      <c r="B54" s="710" t="str">
        <f>Orçamento!B57</f>
        <v>5.6</v>
      </c>
      <c r="C54" s="621" t="str">
        <f>Orçamento!C57</f>
        <v>Calha de Alvenaria impermeabilizada</v>
      </c>
      <c r="D54" s="423"/>
      <c r="E54" s="424"/>
      <c r="F54" s="425"/>
      <c r="G54" s="425"/>
      <c r="H54" s="425"/>
      <c r="I54" s="426"/>
      <c r="J54" s="425"/>
      <c r="K54" s="425"/>
      <c r="L54" s="422"/>
    </row>
    <row r="55" spans="2:12" ht="54">
      <c r="B55" s="431" t="str">
        <f>Orçamento!B58</f>
        <v>5.6.1</v>
      </c>
      <c r="C55" s="285" t="str">
        <f>Orçamento!C58</f>
        <v>Alvenaria de tijolo cerâmico furado (9x19x19)cm c/argamassa mista de cal hidratada esp.=9cm (1:2:8), junta 1cm </v>
      </c>
      <c r="D55" s="278" t="s">
        <v>38</v>
      </c>
      <c r="E55" s="122"/>
      <c r="F55" s="137"/>
      <c r="G55" s="137"/>
      <c r="H55" s="137"/>
      <c r="I55" s="429"/>
      <c r="J55" s="137"/>
      <c r="K55" s="137"/>
      <c r="L55" s="430"/>
    </row>
    <row r="56" spans="2:12" ht="18">
      <c r="B56" s="155"/>
      <c r="C56" s="145"/>
      <c r="D56" s="281"/>
      <c r="E56" s="118" t="s">
        <v>681</v>
      </c>
      <c r="F56" s="140">
        <v>24.95</v>
      </c>
      <c r="G56" s="282"/>
      <c r="H56" s="140">
        <v>0.4</v>
      </c>
      <c r="I56" s="123">
        <f>F56*H56</f>
        <v>9.98</v>
      </c>
      <c r="J56" s="282"/>
      <c r="K56" s="88">
        <v>2</v>
      </c>
      <c r="L56" s="432">
        <f>I56*K56</f>
        <v>19.96</v>
      </c>
    </row>
    <row r="57" spans="2:12" ht="18">
      <c r="B57" s="151"/>
      <c r="C57" s="271"/>
      <c r="D57" s="286"/>
      <c r="E57" s="124"/>
      <c r="F57" s="139"/>
      <c r="G57" s="139"/>
      <c r="H57" s="139"/>
      <c r="I57" s="273"/>
      <c r="J57" s="139"/>
      <c r="K57" s="139"/>
      <c r="L57" s="287">
        <f>L56</f>
        <v>19.96</v>
      </c>
    </row>
    <row r="58" spans="2:12" ht="54">
      <c r="B58" s="431" t="str">
        <f>Orçamento!B59</f>
        <v>5.6.2</v>
      </c>
      <c r="C58" s="285" t="str">
        <f>Orçamento!C59</f>
        <v>Chapisco traco 1:3 (cimento e areia media), espessura 0,5cm, preparo manual da argamassa</v>
      </c>
      <c r="D58" s="278" t="s">
        <v>38</v>
      </c>
      <c r="E58" s="122"/>
      <c r="F58" s="137"/>
      <c r="G58" s="137"/>
      <c r="H58" s="137"/>
      <c r="I58" s="429"/>
      <c r="J58" s="137"/>
      <c r="K58" s="137"/>
      <c r="L58" s="430"/>
    </row>
    <row r="59" spans="2:12" ht="18">
      <c r="B59" s="155"/>
      <c r="C59" s="145"/>
      <c r="D59" s="281"/>
      <c r="E59" s="118" t="s">
        <v>681</v>
      </c>
      <c r="F59" s="140">
        <v>24.95</v>
      </c>
      <c r="G59" s="282"/>
      <c r="H59" s="140">
        <f>0.4+0.15</f>
        <v>0.55</v>
      </c>
      <c r="I59" s="123">
        <f>F59*H59</f>
        <v>13.7225</v>
      </c>
      <c r="J59" s="282"/>
      <c r="K59" s="88">
        <v>2</v>
      </c>
      <c r="L59" s="432">
        <f>I59*K59</f>
        <v>27.445</v>
      </c>
    </row>
    <row r="60" spans="2:12" ht="18">
      <c r="B60" s="155"/>
      <c r="C60" s="145"/>
      <c r="D60" s="281"/>
      <c r="E60" s="118"/>
      <c r="F60" s="282"/>
      <c r="G60" s="282"/>
      <c r="H60" s="282"/>
      <c r="I60" s="123"/>
      <c r="J60" s="282"/>
      <c r="K60" s="282"/>
      <c r="L60" s="280">
        <f>L59</f>
        <v>27.445</v>
      </c>
    </row>
    <row r="61" spans="2:12" ht="36">
      <c r="B61" s="433" t="str">
        <f>Orçamento!B60</f>
        <v>5.6.3</v>
      </c>
      <c r="C61" s="617" t="str">
        <f>Orçamento!C60</f>
        <v>Reboco traco 1:2:8 (cimento, cal e areia media), espessura 2,0cm, preparo mecânico</v>
      </c>
      <c r="D61" s="278" t="s">
        <v>38</v>
      </c>
      <c r="E61" s="278"/>
      <c r="F61" s="122"/>
      <c r="G61" s="137"/>
      <c r="H61" s="137"/>
      <c r="I61" s="137"/>
      <c r="J61" s="429"/>
      <c r="K61" s="137"/>
      <c r="L61" s="138"/>
    </row>
    <row r="62" spans="2:12" ht="18">
      <c r="B62" s="155"/>
      <c r="C62" s="153"/>
      <c r="D62" s="145"/>
      <c r="E62" s="281" t="s">
        <v>681</v>
      </c>
      <c r="F62" s="140">
        <v>24.95</v>
      </c>
      <c r="G62" s="282"/>
      <c r="H62" s="140">
        <f>0.4+0.15</f>
        <v>0.55</v>
      </c>
      <c r="I62" s="123">
        <f>F62*H62</f>
        <v>13.7225</v>
      </c>
      <c r="J62" s="123"/>
      <c r="K62" s="88">
        <v>2</v>
      </c>
      <c r="L62" s="432">
        <f>I62*K62</f>
        <v>27.445</v>
      </c>
    </row>
    <row r="63" spans="2:12" ht="18">
      <c r="B63" s="151"/>
      <c r="C63" s="152"/>
      <c r="D63" s="271"/>
      <c r="E63" s="286"/>
      <c r="F63" s="124"/>
      <c r="G63" s="139"/>
      <c r="H63" s="139"/>
      <c r="I63" s="139"/>
      <c r="J63" s="273"/>
      <c r="K63" s="139"/>
      <c r="L63" s="287">
        <f>L62</f>
        <v>27.445</v>
      </c>
    </row>
    <row r="64" spans="2:12" ht="72">
      <c r="B64" s="711" t="str">
        <f>Orçamento!B61</f>
        <v>5.6.4</v>
      </c>
      <c r="C64" s="145" t="str">
        <f>Orçamento!C61</f>
        <v>Impermeabilização de Calha com manta asfáltica protegida filme de alumínio gofrado (de espessura 0,8mm), inclusa aplicação de emulsão asfaltica, E=3mm</v>
      </c>
      <c r="D64" s="278" t="s">
        <v>38</v>
      </c>
      <c r="E64" s="118"/>
      <c r="F64" s="282"/>
      <c r="G64" s="282"/>
      <c r="H64" s="282"/>
      <c r="I64" s="123"/>
      <c r="J64" s="282"/>
      <c r="K64" s="282"/>
      <c r="L64" s="280"/>
    </row>
    <row r="65" spans="2:12" ht="18">
      <c r="B65" s="155"/>
      <c r="C65" s="145"/>
      <c r="D65" s="281"/>
      <c r="E65" s="281" t="s">
        <v>681</v>
      </c>
      <c r="F65" s="140">
        <v>24.95</v>
      </c>
      <c r="G65" s="140">
        <f>0.8+0.3</f>
        <v>1.1</v>
      </c>
      <c r="H65" s="140">
        <v>0.4</v>
      </c>
      <c r="I65" s="123">
        <f>F65*G65+2*F65*H65+2*G65*H65</f>
        <v>48.285000000000004</v>
      </c>
      <c r="J65" s="282"/>
      <c r="K65" s="282"/>
      <c r="L65" s="432">
        <f>I65</f>
        <v>48.285000000000004</v>
      </c>
    </row>
    <row r="66" spans="2:12" ht="18">
      <c r="B66" s="155"/>
      <c r="C66" s="145"/>
      <c r="D66" s="281"/>
      <c r="E66" s="118"/>
      <c r="F66" s="282"/>
      <c r="G66" s="282"/>
      <c r="H66" s="282"/>
      <c r="I66" s="123"/>
      <c r="J66" s="282"/>
      <c r="K66" s="282"/>
      <c r="L66" s="280">
        <f>L65</f>
        <v>48.285000000000004</v>
      </c>
    </row>
    <row r="67" spans="2:12" ht="18">
      <c r="B67" s="74" t="str">
        <f>Orçamento!B62</f>
        <v>6.00</v>
      </c>
      <c r="C67" s="75" t="str">
        <f>Orçamento!C62</f>
        <v>ESQUADRIAS METÁLICAS</v>
      </c>
      <c r="D67" s="75"/>
      <c r="E67" s="76"/>
      <c r="F67" s="77"/>
      <c r="G67" s="77"/>
      <c r="H67" s="77"/>
      <c r="I67" s="77"/>
      <c r="J67" s="77"/>
      <c r="K67" s="77"/>
      <c r="L67" s="78"/>
    </row>
    <row r="68" spans="2:12" ht="18">
      <c r="B68" s="108" t="str">
        <f>Orçamento!B63</f>
        <v>6.1</v>
      </c>
      <c r="C68" s="109" t="str">
        <f>Orçamento!C63</f>
        <v>Janela em alumínio, cor branco, de correr</v>
      </c>
      <c r="D68" s="82" t="s">
        <v>38</v>
      </c>
      <c r="E68" s="110"/>
      <c r="F68" s="111"/>
      <c r="G68" s="111"/>
      <c r="H68" s="111"/>
      <c r="I68" s="111"/>
      <c r="J68" s="111"/>
      <c r="K68" s="149"/>
      <c r="L68" s="112"/>
    </row>
    <row r="69" spans="2:14" ht="18">
      <c r="B69" s="133"/>
      <c r="C69" s="132"/>
      <c r="D69" s="132"/>
      <c r="E69" s="126" t="s">
        <v>840</v>
      </c>
      <c r="F69" s="131"/>
      <c r="G69" s="140">
        <v>1.2</v>
      </c>
      <c r="H69" s="140">
        <v>1.2</v>
      </c>
      <c r="I69" s="140">
        <f>G69*H69</f>
        <v>1.44</v>
      </c>
      <c r="J69" s="131"/>
      <c r="K69" s="140">
        <v>1</v>
      </c>
      <c r="L69" s="432">
        <f>I69*K69</f>
        <v>1.44</v>
      </c>
      <c r="N69">
        <f>G69*K69</f>
        <v>1.2</v>
      </c>
    </row>
    <row r="70" spans="2:14" ht="18">
      <c r="B70" s="133"/>
      <c r="C70" s="132"/>
      <c r="D70" s="132"/>
      <c r="E70" s="126" t="s">
        <v>841</v>
      </c>
      <c r="F70" s="131"/>
      <c r="G70" s="140">
        <v>1.5</v>
      </c>
      <c r="H70" s="140">
        <v>1.5</v>
      </c>
      <c r="I70" s="140">
        <f>G70*H70</f>
        <v>2.25</v>
      </c>
      <c r="J70" s="131"/>
      <c r="K70" s="140">
        <v>1</v>
      </c>
      <c r="L70" s="432">
        <f>I70*K70</f>
        <v>2.25</v>
      </c>
      <c r="N70">
        <f aca="true" t="shared" si="0" ref="N70:N81">G70*K70</f>
        <v>1.5</v>
      </c>
    </row>
    <row r="71" spans="2:14" ht="18">
      <c r="B71" s="133"/>
      <c r="C71" s="132"/>
      <c r="D71" s="132"/>
      <c r="E71" s="126" t="s">
        <v>842</v>
      </c>
      <c r="F71" s="131"/>
      <c r="G71" s="140">
        <v>1.5</v>
      </c>
      <c r="H71" s="140">
        <v>1.2</v>
      </c>
      <c r="I71" s="140">
        <f>G71*H71</f>
        <v>1.7999999999999998</v>
      </c>
      <c r="J71" s="131"/>
      <c r="K71" s="140">
        <v>1</v>
      </c>
      <c r="L71" s="432">
        <f>I71*K71</f>
        <v>1.7999999999999998</v>
      </c>
      <c r="N71">
        <f t="shared" si="0"/>
        <v>1.5</v>
      </c>
    </row>
    <row r="72" spans="2:14" ht="18">
      <c r="B72" s="133"/>
      <c r="C72" s="132"/>
      <c r="D72" s="132"/>
      <c r="E72" s="126" t="s">
        <v>844</v>
      </c>
      <c r="F72" s="131"/>
      <c r="G72" s="140">
        <v>2</v>
      </c>
      <c r="H72" s="140">
        <v>2</v>
      </c>
      <c r="I72" s="140">
        <f>G72*H72</f>
        <v>4</v>
      </c>
      <c r="J72" s="131"/>
      <c r="K72" s="140">
        <v>1</v>
      </c>
      <c r="L72" s="432">
        <f>I72*K72</f>
        <v>4</v>
      </c>
      <c r="N72">
        <f t="shared" si="0"/>
        <v>2</v>
      </c>
    </row>
    <row r="73" spans="2:14" ht="18">
      <c r="B73" s="150"/>
      <c r="C73" s="116"/>
      <c r="D73" s="116"/>
      <c r="E73" s="113"/>
      <c r="F73" s="114"/>
      <c r="G73" s="148"/>
      <c r="H73" s="148"/>
      <c r="I73" s="148"/>
      <c r="J73" s="114"/>
      <c r="K73" s="148"/>
      <c r="L73" s="287">
        <f>SUM(L69:L72)</f>
        <v>9.49</v>
      </c>
      <c r="N73">
        <f t="shared" si="0"/>
        <v>0</v>
      </c>
    </row>
    <row r="74" spans="2:14" ht="18">
      <c r="B74" s="290" t="str">
        <f>Orçamento!B64</f>
        <v>6.2</v>
      </c>
      <c r="C74" s="109" t="str">
        <f>Orçamento!C64</f>
        <v>Janela em alumínio, cor branco, maximar</v>
      </c>
      <c r="D74" s="82" t="s">
        <v>38</v>
      </c>
      <c r="E74" s="109"/>
      <c r="F74" s="111"/>
      <c r="G74" s="149"/>
      <c r="H74" s="149"/>
      <c r="I74" s="149"/>
      <c r="J74" s="111"/>
      <c r="K74" s="149"/>
      <c r="L74" s="668"/>
      <c r="N74">
        <f t="shared" si="0"/>
        <v>0</v>
      </c>
    </row>
    <row r="75" spans="2:14" ht="18">
      <c r="B75" s="133"/>
      <c r="C75" s="132"/>
      <c r="D75" s="132"/>
      <c r="E75" s="126" t="s">
        <v>843</v>
      </c>
      <c r="F75" s="131"/>
      <c r="G75" s="140">
        <v>0.8</v>
      </c>
      <c r="H75" s="140">
        <v>0.8</v>
      </c>
      <c r="I75" s="140">
        <f>G75*H75</f>
        <v>0.6400000000000001</v>
      </c>
      <c r="J75" s="131"/>
      <c r="K75" s="140">
        <v>1</v>
      </c>
      <c r="L75" s="432">
        <f>I75*K75</f>
        <v>0.6400000000000001</v>
      </c>
      <c r="N75">
        <f t="shared" si="0"/>
        <v>0.8</v>
      </c>
    </row>
    <row r="76" spans="2:14" ht="18">
      <c r="B76" s="133"/>
      <c r="C76" s="132"/>
      <c r="D76" s="132"/>
      <c r="E76" s="126" t="s">
        <v>845</v>
      </c>
      <c r="F76" s="131"/>
      <c r="G76" s="140">
        <v>0.9</v>
      </c>
      <c r="H76" s="140">
        <v>0.6</v>
      </c>
      <c r="I76" s="140">
        <f>G76*H76</f>
        <v>0.54</v>
      </c>
      <c r="J76" s="131"/>
      <c r="K76" s="140">
        <v>3</v>
      </c>
      <c r="L76" s="432">
        <f>I76*K76</f>
        <v>1.62</v>
      </c>
      <c r="N76">
        <f t="shared" si="0"/>
        <v>2.7</v>
      </c>
    </row>
    <row r="77" spans="2:14" ht="18">
      <c r="B77" s="133"/>
      <c r="C77" s="132"/>
      <c r="D77" s="132"/>
      <c r="E77" s="126" t="s">
        <v>846</v>
      </c>
      <c r="F77" s="131"/>
      <c r="G77" s="140">
        <v>1</v>
      </c>
      <c r="H77" s="140">
        <v>0.6</v>
      </c>
      <c r="I77" s="140">
        <f>G77*H77</f>
        <v>0.6</v>
      </c>
      <c r="J77" s="131"/>
      <c r="K77" s="140">
        <v>5</v>
      </c>
      <c r="L77" s="432">
        <f>I77*K77</f>
        <v>3</v>
      </c>
      <c r="N77">
        <f t="shared" si="0"/>
        <v>5</v>
      </c>
    </row>
    <row r="78" spans="2:14" ht="18">
      <c r="B78" s="150"/>
      <c r="C78" s="116"/>
      <c r="D78" s="116"/>
      <c r="E78" s="125"/>
      <c r="F78" s="114"/>
      <c r="G78" s="148"/>
      <c r="H78" s="148"/>
      <c r="I78" s="148"/>
      <c r="J78" s="114"/>
      <c r="K78" s="148"/>
      <c r="L78" s="287">
        <f>SUM(L75:L77)</f>
        <v>5.26</v>
      </c>
      <c r="N78">
        <f t="shared" si="0"/>
        <v>0</v>
      </c>
    </row>
    <row r="79" spans="2:14" ht="36">
      <c r="B79" s="667" t="str">
        <f>Orçamento!B65</f>
        <v>6.3</v>
      </c>
      <c r="C79" s="109" t="str">
        <f>Orçamento!C65</f>
        <v>Caixilho fixo, em alumínio cor branco, p/ visor</v>
      </c>
      <c r="D79" s="82" t="s">
        <v>38</v>
      </c>
      <c r="E79" s="192"/>
      <c r="F79" s="131"/>
      <c r="G79" s="140"/>
      <c r="H79" s="140"/>
      <c r="I79" s="140"/>
      <c r="J79" s="131"/>
      <c r="K79" s="140"/>
      <c r="L79" s="432"/>
      <c r="N79">
        <f t="shared" si="0"/>
        <v>0</v>
      </c>
    </row>
    <row r="80" spans="2:14" ht="18">
      <c r="B80" s="133"/>
      <c r="C80" s="132"/>
      <c r="D80" s="132"/>
      <c r="E80" s="126" t="s">
        <v>847</v>
      </c>
      <c r="F80" s="131"/>
      <c r="G80" s="140">
        <v>2.9</v>
      </c>
      <c r="H80" s="140">
        <v>1</v>
      </c>
      <c r="I80" s="140">
        <f>G80*H80</f>
        <v>2.9</v>
      </c>
      <c r="J80" s="131"/>
      <c r="K80" s="140"/>
      <c r="L80" s="432">
        <f>I80</f>
        <v>2.9</v>
      </c>
      <c r="N80">
        <f t="shared" si="0"/>
        <v>0</v>
      </c>
    </row>
    <row r="81" spans="2:14" ht="18">
      <c r="B81" s="133"/>
      <c r="C81" s="132"/>
      <c r="D81" s="132"/>
      <c r="E81" s="126" t="s">
        <v>848</v>
      </c>
      <c r="F81" s="131"/>
      <c r="G81" s="140">
        <v>1.1</v>
      </c>
      <c r="H81" s="140">
        <v>1</v>
      </c>
      <c r="I81" s="140">
        <f>G81*H81</f>
        <v>1.1</v>
      </c>
      <c r="J81" s="131"/>
      <c r="K81" s="131"/>
      <c r="L81" s="432">
        <f>I81</f>
        <v>1.1</v>
      </c>
      <c r="N81">
        <f t="shared" si="0"/>
        <v>0</v>
      </c>
    </row>
    <row r="82" spans="2:14" ht="18">
      <c r="B82" s="133"/>
      <c r="C82" s="132"/>
      <c r="D82" s="132"/>
      <c r="E82" s="192"/>
      <c r="F82" s="131"/>
      <c r="G82" s="131"/>
      <c r="H82" s="131"/>
      <c r="I82" s="131"/>
      <c r="J82" s="131"/>
      <c r="K82" s="131"/>
      <c r="L82" s="287">
        <f>SUM(L80:L81)</f>
        <v>4</v>
      </c>
      <c r="N82">
        <f>SUM(N69:N81)</f>
        <v>14.7</v>
      </c>
    </row>
    <row r="83" spans="2:12" ht="36">
      <c r="B83" s="290" t="str">
        <f>Orçamento!B66</f>
        <v>6.4</v>
      </c>
      <c r="C83" s="109" t="str">
        <f>Orçamento!C66</f>
        <v>Porta em aluminio, cor branco, de correr ou abrir, completa, exclusive vidros</v>
      </c>
      <c r="D83" s="82" t="s">
        <v>38</v>
      </c>
      <c r="E83" s="80"/>
      <c r="F83" s="81"/>
      <c r="G83" s="83"/>
      <c r="H83" s="83"/>
      <c r="I83" s="83"/>
      <c r="J83" s="81"/>
      <c r="K83" s="83"/>
      <c r="L83" s="84"/>
    </row>
    <row r="84" spans="2:12" ht="18">
      <c r="B84" s="292"/>
      <c r="C84" s="126"/>
      <c r="D84" s="90"/>
      <c r="E84" s="102" t="s">
        <v>519</v>
      </c>
      <c r="F84" s="60"/>
      <c r="G84" s="140">
        <v>1.6</v>
      </c>
      <c r="H84" s="140">
        <v>2.5</v>
      </c>
      <c r="I84" s="140">
        <f>G84*H84</f>
        <v>4</v>
      </c>
      <c r="J84" s="102"/>
      <c r="K84" s="140">
        <v>1</v>
      </c>
      <c r="L84" s="142">
        <f>I84*K84</f>
        <v>4</v>
      </c>
    </row>
    <row r="85" spans="2:12" ht="18">
      <c r="B85" s="292"/>
      <c r="C85" s="126"/>
      <c r="D85" s="90"/>
      <c r="E85" s="102" t="s">
        <v>520</v>
      </c>
      <c r="F85" s="102"/>
      <c r="G85" s="140">
        <v>2</v>
      </c>
      <c r="H85" s="140">
        <v>2.1</v>
      </c>
      <c r="I85" s="140">
        <f>G85*H85</f>
        <v>4.2</v>
      </c>
      <c r="J85" s="102"/>
      <c r="K85" s="140">
        <v>5</v>
      </c>
      <c r="L85" s="142">
        <f>I85*K85</f>
        <v>21</v>
      </c>
    </row>
    <row r="86" spans="2:12" ht="18">
      <c r="B86" s="292"/>
      <c r="C86" s="126"/>
      <c r="D86" s="90"/>
      <c r="E86" s="102" t="s">
        <v>521</v>
      </c>
      <c r="F86" s="102"/>
      <c r="G86" s="140">
        <v>2.2</v>
      </c>
      <c r="H86" s="140">
        <v>2.1</v>
      </c>
      <c r="I86" s="140">
        <f>G86*H86</f>
        <v>4.620000000000001</v>
      </c>
      <c r="J86" s="102"/>
      <c r="K86" s="140">
        <v>1</v>
      </c>
      <c r="L86" s="142">
        <f>I86*K86</f>
        <v>4.620000000000001</v>
      </c>
    </row>
    <row r="87" spans="2:12" ht="18">
      <c r="B87" s="85"/>
      <c r="C87" s="126"/>
      <c r="D87" s="90"/>
      <c r="E87" s="92"/>
      <c r="F87" s="94"/>
      <c r="G87" s="95"/>
      <c r="H87" s="95"/>
      <c r="I87" s="95"/>
      <c r="J87" s="94"/>
      <c r="K87" s="95"/>
      <c r="L87" s="97">
        <f>SUM(L84:L86)</f>
        <v>29.62</v>
      </c>
    </row>
    <row r="88" spans="2:12" ht="18">
      <c r="B88" s="290" t="str">
        <f>Orçamento!B67</f>
        <v>6.5</v>
      </c>
      <c r="C88" s="109" t="str">
        <f>Orçamento!C67</f>
        <v>Porta em alumínio, cor branco</v>
      </c>
      <c r="D88" s="82" t="s">
        <v>38</v>
      </c>
      <c r="E88" s="81"/>
      <c r="F88" s="81"/>
      <c r="G88" s="81"/>
      <c r="H88" s="81"/>
      <c r="I88" s="81"/>
      <c r="J88" s="81"/>
      <c r="K88" s="81"/>
      <c r="L88" s="127"/>
    </row>
    <row r="89" spans="2:12" ht="18">
      <c r="B89" s="85"/>
      <c r="C89" s="126"/>
      <c r="D89" s="90"/>
      <c r="E89" s="102" t="s">
        <v>523</v>
      </c>
      <c r="F89" s="102"/>
      <c r="G89" s="140">
        <v>0.8</v>
      </c>
      <c r="H89" s="140">
        <v>2.1</v>
      </c>
      <c r="I89" s="140">
        <f>G89*H89</f>
        <v>1.6800000000000002</v>
      </c>
      <c r="J89" s="102"/>
      <c r="K89" s="140">
        <v>1</v>
      </c>
      <c r="L89" s="288">
        <f>I89</f>
        <v>1.6800000000000002</v>
      </c>
    </row>
    <row r="90" spans="2:12" ht="18">
      <c r="B90" s="85"/>
      <c r="C90" s="126"/>
      <c r="D90" s="90"/>
      <c r="E90" s="102" t="s">
        <v>522</v>
      </c>
      <c r="F90" s="102"/>
      <c r="G90" s="140">
        <v>0.92</v>
      </c>
      <c r="H90" s="140">
        <v>2.1</v>
      </c>
      <c r="I90" s="140">
        <f>G90*H90</f>
        <v>1.9320000000000002</v>
      </c>
      <c r="J90" s="102"/>
      <c r="K90" s="140">
        <v>1</v>
      </c>
      <c r="L90" s="288">
        <f>I90</f>
        <v>1.9320000000000002</v>
      </c>
    </row>
    <row r="91" spans="2:12" ht="18">
      <c r="B91" s="85"/>
      <c r="C91" s="126"/>
      <c r="D91" s="102"/>
      <c r="E91" s="102"/>
      <c r="F91" s="102"/>
      <c r="G91" s="88"/>
      <c r="H91" s="88"/>
      <c r="I91" s="88"/>
      <c r="J91" s="102"/>
      <c r="K91" s="102"/>
      <c r="L91" s="99">
        <f>SUM(L89:L90)</f>
        <v>3.612</v>
      </c>
    </row>
    <row r="92" spans="2:12" ht="18">
      <c r="B92" s="666" t="str">
        <f>Orçamento!B68</f>
        <v>7.00</v>
      </c>
      <c r="C92" s="104" t="str">
        <f>Orçamento!C68</f>
        <v>ESQUADRIAS MADEIRA</v>
      </c>
      <c r="D92" s="104"/>
      <c r="E92" s="105"/>
      <c r="F92" s="106"/>
      <c r="G92" s="106"/>
      <c r="H92" s="106"/>
      <c r="I92" s="106"/>
      <c r="J92" s="106"/>
      <c r="K92" s="106"/>
      <c r="L92" s="107"/>
    </row>
    <row r="93" spans="2:12" ht="18">
      <c r="B93" s="108" t="str">
        <f>Orçamento!B75</f>
        <v>7.7</v>
      </c>
      <c r="C93" s="109" t="str">
        <f>Orçamento!C75</f>
        <v>Revestimento vinílico</v>
      </c>
      <c r="D93" s="82" t="s">
        <v>38</v>
      </c>
      <c r="E93" s="110"/>
      <c r="F93" s="111"/>
      <c r="G93" s="111"/>
      <c r="H93" s="111"/>
      <c r="I93" s="111"/>
      <c r="J93" s="111"/>
      <c r="K93" s="111"/>
      <c r="L93" s="112"/>
    </row>
    <row r="94" spans="2:12" ht="18">
      <c r="B94" s="667"/>
      <c r="C94" s="132"/>
      <c r="D94" s="132"/>
      <c r="E94" s="126" t="s">
        <v>826</v>
      </c>
      <c r="F94" s="131"/>
      <c r="G94" s="88">
        <v>0.6</v>
      </c>
      <c r="H94" s="88">
        <v>0.85</v>
      </c>
      <c r="I94" s="140">
        <f>G94*H94*2</f>
        <v>1.02</v>
      </c>
      <c r="J94" s="131"/>
      <c r="K94" s="88">
        <v>2</v>
      </c>
      <c r="L94" s="89">
        <f>I94*K94</f>
        <v>2.04</v>
      </c>
    </row>
    <row r="95" spans="2:12" ht="18">
      <c r="B95" s="667"/>
      <c r="C95" s="132"/>
      <c r="D95" s="132"/>
      <c r="E95" s="126" t="s">
        <v>827</v>
      </c>
      <c r="F95" s="131"/>
      <c r="G95" s="88">
        <v>0.7</v>
      </c>
      <c r="H95" s="88">
        <v>0.85</v>
      </c>
      <c r="I95" s="140">
        <f>G95*H95*2</f>
        <v>1.19</v>
      </c>
      <c r="J95" s="131"/>
      <c r="K95" s="88">
        <v>2</v>
      </c>
      <c r="L95" s="89">
        <f>I95*K95</f>
        <v>2.38</v>
      </c>
    </row>
    <row r="96" spans="2:12" ht="18">
      <c r="B96" s="667"/>
      <c r="C96" s="132"/>
      <c r="D96" s="132"/>
      <c r="E96" s="126" t="s">
        <v>828</v>
      </c>
      <c r="F96" s="131"/>
      <c r="G96" s="88">
        <v>0.8</v>
      </c>
      <c r="H96" s="88">
        <v>0.85</v>
      </c>
      <c r="I96" s="140">
        <f>G96*H96*2</f>
        <v>1.36</v>
      </c>
      <c r="J96" s="131"/>
      <c r="K96" s="88">
        <v>7</v>
      </c>
      <c r="L96" s="89">
        <f>I96*K96</f>
        <v>9.520000000000001</v>
      </c>
    </row>
    <row r="97" spans="2:12" ht="18">
      <c r="B97" s="667"/>
      <c r="C97" s="132"/>
      <c r="D97" s="132"/>
      <c r="E97" s="126" t="s">
        <v>829</v>
      </c>
      <c r="F97" s="131"/>
      <c r="G97" s="131"/>
      <c r="H97" s="131"/>
      <c r="I97" s="140">
        <f>6.21*2</f>
        <v>12.42</v>
      </c>
      <c r="J97" s="131"/>
      <c r="K97" s="131"/>
      <c r="L97" s="89">
        <f>I97</f>
        <v>12.42</v>
      </c>
    </row>
    <row r="98" spans="2:12" ht="18">
      <c r="B98" s="667"/>
      <c r="C98" s="132"/>
      <c r="D98" s="132"/>
      <c r="E98" s="192"/>
      <c r="F98" s="131"/>
      <c r="G98" s="131"/>
      <c r="H98" s="131"/>
      <c r="I98" s="131"/>
      <c r="J98" s="131"/>
      <c r="K98" s="131"/>
      <c r="L98" s="99">
        <f>SUM(L94:L97)</f>
        <v>26.36</v>
      </c>
    </row>
    <row r="99" spans="2:12" ht="36">
      <c r="B99" s="74" t="str">
        <f>Orçamento!B68</f>
        <v>7.00</v>
      </c>
      <c r="C99" s="75" t="str">
        <f>Orçamento!C76</f>
        <v>INSTALAÇÕES  HIDRO-SANITÁRIAS E ÁGUA PLUVIAL</v>
      </c>
      <c r="D99" s="75"/>
      <c r="E99" s="76"/>
      <c r="F99" s="77"/>
      <c r="G99" s="77"/>
      <c r="H99" s="77"/>
      <c r="I99" s="77"/>
      <c r="J99" s="77"/>
      <c r="K99" s="77"/>
      <c r="L99" s="78"/>
    </row>
    <row r="100" spans="2:12" ht="18">
      <c r="B100" s="427" t="str">
        <f>Orçamento!B120</f>
        <v>8.5.7</v>
      </c>
      <c r="C100" s="421" t="str">
        <f>Orçamento!C120</f>
        <v>Banheira de imersão em acrílico </v>
      </c>
      <c r="D100" s="428"/>
      <c r="E100" s="428"/>
      <c r="F100" s="428"/>
      <c r="G100" s="426"/>
      <c r="H100" s="426"/>
      <c r="I100" s="426"/>
      <c r="J100" s="428"/>
      <c r="K100" s="428"/>
      <c r="L100" s="422"/>
    </row>
    <row r="101" spans="2:12" ht="54">
      <c r="B101" s="290" t="str">
        <f>Orçamento!B122</f>
        <v>8.5.7.2</v>
      </c>
      <c r="C101" s="109" t="str">
        <f>Orçamento!C122</f>
        <v>Alvenaria de tijolo cerâmico furado (9x19x19)cm c/argamassa mista de cal hidratada esp.=9cm (1:2:8), junta 1cm </v>
      </c>
      <c r="D101" s="82" t="s">
        <v>38</v>
      </c>
      <c r="E101" s="81"/>
      <c r="F101" s="81"/>
      <c r="G101" s="83"/>
      <c r="H101" s="83"/>
      <c r="I101" s="83"/>
      <c r="J101" s="81"/>
      <c r="K101" s="81"/>
      <c r="L101" s="84"/>
    </row>
    <row r="102" spans="2:12" ht="18">
      <c r="B102" s="85"/>
      <c r="C102" s="126"/>
      <c r="D102" s="102"/>
      <c r="E102" s="102" t="s">
        <v>679</v>
      </c>
      <c r="F102" s="143">
        <v>6.64</v>
      </c>
      <c r="G102" s="88"/>
      <c r="H102" s="88">
        <v>0.6</v>
      </c>
      <c r="I102" s="88">
        <f>F102*H102</f>
        <v>3.9839999999999995</v>
      </c>
      <c r="J102" s="102"/>
      <c r="K102" s="102"/>
      <c r="L102" s="89">
        <f>I102</f>
        <v>3.9839999999999995</v>
      </c>
    </row>
    <row r="103" spans="2:12" ht="18">
      <c r="B103" s="91"/>
      <c r="C103" s="113"/>
      <c r="D103" s="94"/>
      <c r="E103" s="94"/>
      <c r="F103" s="94"/>
      <c r="G103" s="95"/>
      <c r="H103" s="95"/>
      <c r="I103" s="95"/>
      <c r="J103" s="94"/>
      <c r="K103" s="94"/>
      <c r="L103" s="97">
        <f>SUM(L102)</f>
        <v>3.9839999999999995</v>
      </c>
    </row>
    <row r="104" spans="2:12" ht="54">
      <c r="B104" s="290" t="str">
        <f>Orçamento!B123</f>
        <v>8.5.7.3</v>
      </c>
      <c r="C104" s="109" t="str">
        <f>Orçamento!C123</f>
        <v>Chapisco traco 1:3 (cimento e areia media), espessura 0,5cm, preparo manual da argamassa</v>
      </c>
      <c r="D104" s="82" t="s">
        <v>38</v>
      </c>
      <c r="E104" s="81"/>
      <c r="F104" s="81"/>
      <c r="G104" s="83"/>
      <c r="H104" s="83"/>
      <c r="I104" s="83"/>
      <c r="J104" s="81"/>
      <c r="K104" s="81"/>
      <c r="L104" s="84"/>
    </row>
    <row r="105" spans="2:12" ht="18">
      <c r="B105" s="85"/>
      <c r="C105" s="126"/>
      <c r="D105" s="102"/>
      <c r="E105" s="102" t="s">
        <v>679</v>
      </c>
      <c r="F105" s="143">
        <v>6.64</v>
      </c>
      <c r="G105" s="88"/>
      <c r="H105" s="88">
        <v>0.6</v>
      </c>
      <c r="I105" s="88">
        <f>F105*H105</f>
        <v>3.9839999999999995</v>
      </c>
      <c r="J105" s="102"/>
      <c r="K105" s="102"/>
      <c r="L105" s="89">
        <f>I105</f>
        <v>3.9839999999999995</v>
      </c>
    </row>
    <row r="106" spans="2:12" ht="18">
      <c r="B106" s="91"/>
      <c r="C106" s="113"/>
      <c r="D106" s="94"/>
      <c r="E106" s="94"/>
      <c r="F106" s="94"/>
      <c r="G106" s="95"/>
      <c r="H106" s="95"/>
      <c r="I106" s="95"/>
      <c r="J106" s="94"/>
      <c r="K106" s="94"/>
      <c r="L106" s="97">
        <f>SUM(L105)</f>
        <v>3.9839999999999995</v>
      </c>
    </row>
    <row r="107" spans="2:12" ht="36">
      <c r="B107" s="290" t="str">
        <f>Orçamento!B124</f>
        <v>8.5.7.4</v>
      </c>
      <c r="C107" s="109" t="str">
        <f>Orçamento!C124</f>
        <v>Emboco traco 1:2:8 (cimento, cal e areia media), espessura 2,0cm, preparo mecânico</v>
      </c>
      <c r="D107" s="82" t="s">
        <v>38</v>
      </c>
      <c r="E107" s="81"/>
      <c r="F107" s="81"/>
      <c r="G107" s="83"/>
      <c r="H107" s="83"/>
      <c r="I107" s="83"/>
      <c r="J107" s="81"/>
      <c r="K107" s="81"/>
      <c r="L107" s="84"/>
    </row>
    <row r="108" spans="2:12" ht="18">
      <c r="B108" s="85"/>
      <c r="C108" s="126"/>
      <c r="D108" s="102"/>
      <c r="E108" s="102" t="s">
        <v>679</v>
      </c>
      <c r="F108" s="143">
        <v>6.64</v>
      </c>
      <c r="G108" s="88"/>
      <c r="H108" s="88">
        <v>0.6</v>
      </c>
      <c r="I108" s="88">
        <f>F108*H108</f>
        <v>3.9839999999999995</v>
      </c>
      <c r="J108" s="102"/>
      <c r="K108" s="102"/>
      <c r="L108" s="89">
        <f>I108+2.33-1.34</f>
        <v>4.974</v>
      </c>
    </row>
    <row r="109" spans="2:12" ht="18">
      <c r="B109" s="91"/>
      <c r="C109" s="113"/>
      <c r="D109" s="94"/>
      <c r="E109" s="94"/>
      <c r="F109" s="94"/>
      <c r="G109" s="95"/>
      <c r="H109" s="95"/>
      <c r="I109" s="95"/>
      <c r="J109" s="94"/>
      <c r="K109" s="94"/>
      <c r="L109" s="97">
        <f>SUM(L108)</f>
        <v>4.974</v>
      </c>
    </row>
    <row r="110" spans="2:12" ht="54">
      <c r="B110" s="290" t="str">
        <f>Orçamento!B125</f>
        <v>8.5.7.5</v>
      </c>
      <c r="C110" s="109" t="str">
        <f>Orçamento!C125</f>
        <v>Revestimento com cerâmica PEI 4, tipo A na cor branca com massa epóxi com espessura máxima de 2mm</v>
      </c>
      <c r="D110" s="82" t="s">
        <v>38</v>
      </c>
      <c r="E110" s="81"/>
      <c r="F110" s="81"/>
      <c r="G110" s="83"/>
      <c r="H110" s="83"/>
      <c r="I110" s="83"/>
      <c r="J110" s="81"/>
      <c r="K110" s="81"/>
      <c r="L110" s="84"/>
    </row>
    <row r="111" spans="2:12" ht="18">
      <c r="B111" s="85"/>
      <c r="C111" s="126"/>
      <c r="D111" s="102"/>
      <c r="E111" s="102" t="s">
        <v>679</v>
      </c>
      <c r="F111" s="143">
        <v>6.64</v>
      </c>
      <c r="G111" s="88"/>
      <c r="H111" s="88">
        <v>0.6</v>
      </c>
      <c r="I111" s="88">
        <f>F111*H111</f>
        <v>3.9839999999999995</v>
      </c>
      <c r="J111" s="102"/>
      <c r="K111" s="102"/>
      <c r="L111" s="89">
        <f>I111+2.33-1.34</f>
        <v>4.974</v>
      </c>
    </row>
    <row r="112" spans="2:12" ht="18">
      <c r="B112" s="85"/>
      <c r="C112" s="126"/>
      <c r="D112" s="102"/>
      <c r="E112" s="102"/>
      <c r="F112" s="102"/>
      <c r="G112" s="88"/>
      <c r="H112" s="88"/>
      <c r="I112" s="88"/>
      <c r="J112" s="102"/>
      <c r="K112" s="102"/>
      <c r="L112" s="99">
        <f>SUM(L111)</f>
        <v>4.974</v>
      </c>
    </row>
    <row r="113" spans="2:12" ht="18">
      <c r="B113" s="79" t="str">
        <f>Orçamento!B126</f>
        <v>8.5.7.6</v>
      </c>
      <c r="C113" s="109" t="str">
        <f>Orçamento!C126</f>
        <v>Areia p/ aterro com apiloamento manual</v>
      </c>
      <c r="D113" s="81"/>
      <c r="E113" s="81"/>
      <c r="F113" s="81"/>
      <c r="G113" s="83"/>
      <c r="H113" s="83"/>
      <c r="I113" s="83"/>
      <c r="J113" s="81"/>
      <c r="K113" s="81"/>
      <c r="L113" s="84"/>
    </row>
    <row r="114" spans="2:12" ht="18">
      <c r="B114" s="85"/>
      <c r="C114" s="126"/>
      <c r="D114" s="102"/>
      <c r="E114" s="102"/>
      <c r="F114" s="102"/>
      <c r="G114" s="88"/>
      <c r="H114" s="88">
        <v>0.6</v>
      </c>
      <c r="I114" s="88">
        <v>1</v>
      </c>
      <c r="J114" s="88">
        <f>H114*I114</f>
        <v>0.6</v>
      </c>
      <c r="K114" s="102"/>
      <c r="L114" s="89">
        <f>J114</f>
        <v>0.6</v>
      </c>
    </row>
    <row r="115" spans="2:12" ht="18">
      <c r="B115" s="85"/>
      <c r="C115" s="126"/>
      <c r="D115" s="102"/>
      <c r="E115" s="102"/>
      <c r="F115" s="102"/>
      <c r="G115" s="88"/>
      <c r="H115" s="88"/>
      <c r="I115" s="88"/>
      <c r="J115" s="102"/>
      <c r="K115" s="102"/>
      <c r="L115" s="99">
        <f>SUM(L114)</f>
        <v>0.6</v>
      </c>
    </row>
    <row r="116" spans="2:12" ht="18" customHeight="1">
      <c r="B116" s="374" t="str">
        <f>Orçamento!B187</f>
        <v>12.00</v>
      </c>
      <c r="C116" s="75" t="str">
        <f>Orçamento!C187</f>
        <v>REVESTIMENTO DE PAREDES EXTERNAS</v>
      </c>
      <c r="D116" s="75"/>
      <c r="E116" s="76"/>
      <c r="F116" s="77"/>
      <c r="G116" s="77"/>
      <c r="H116" s="77"/>
      <c r="I116" s="77"/>
      <c r="J116" s="77"/>
      <c r="K116" s="77"/>
      <c r="L116" s="78"/>
    </row>
    <row r="117" spans="2:12" ht="54">
      <c r="B117" s="290" t="str">
        <f>Orçamento!B188</f>
        <v>12.1</v>
      </c>
      <c r="C117" s="109" t="str">
        <f>Orçamento!C188</f>
        <v>Chapisco traco 1:3 (cimento e areia media), espessura 0,5cm, preparo manualda argamassa</v>
      </c>
      <c r="D117" s="82" t="s">
        <v>38</v>
      </c>
      <c r="E117" s="81"/>
      <c r="F117" s="81"/>
      <c r="G117" s="81"/>
      <c r="H117" s="81"/>
      <c r="I117" s="81"/>
      <c r="J117" s="81"/>
      <c r="K117" s="81"/>
      <c r="L117" s="127"/>
    </row>
    <row r="118" spans="2:12" ht="18">
      <c r="B118" s="85"/>
      <c r="C118" s="126"/>
      <c r="D118" s="90"/>
      <c r="E118" s="188" t="s">
        <v>516</v>
      </c>
      <c r="F118" s="88"/>
      <c r="G118" s="146"/>
      <c r="H118" s="88"/>
      <c r="I118" s="88">
        <v>434.34</v>
      </c>
      <c r="J118" s="146"/>
      <c r="K118" s="88"/>
      <c r="L118" s="89">
        <f>I118</f>
        <v>434.34</v>
      </c>
    </row>
    <row r="119" spans="2:12" ht="18">
      <c r="B119" s="85"/>
      <c r="C119" s="126"/>
      <c r="D119" s="90"/>
      <c r="E119" s="102" t="s">
        <v>517</v>
      </c>
      <c r="F119" s="88"/>
      <c r="G119" s="146"/>
      <c r="H119" s="88"/>
      <c r="I119" s="88">
        <f>8.42+8.98+8.72</f>
        <v>26.119999999999997</v>
      </c>
      <c r="J119" s="102"/>
      <c r="K119" s="88"/>
      <c r="L119" s="89">
        <f>I119</f>
        <v>26.119999999999997</v>
      </c>
    </row>
    <row r="120" spans="2:12" ht="18">
      <c r="B120" s="85"/>
      <c r="C120" s="126"/>
      <c r="D120" s="90"/>
      <c r="E120" s="102" t="s">
        <v>748</v>
      </c>
      <c r="F120" s="88"/>
      <c r="G120" s="146"/>
      <c r="H120" s="88"/>
      <c r="I120" s="88">
        <f>6.45*3</f>
        <v>19.35</v>
      </c>
      <c r="J120" s="102"/>
      <c r="K120" s="88"/>
      <c r="L120" s="89">
        <f>I120</f>
        <v>19.35</v>
      </c>
    </row>
    <row r="121" spans="2:12" ht="18">
      <c r="B121" s="91"/>
      <c r="C121" s="113"/>
      <c r="D121" s="96"/>
      <c r="E121" s="101"/>
      <c r="F121" s="94"/>
      <c r="G121" s="94"/>
      <c r="H121" s="94"/>
      <c r="I121" s="94"/>
      <c r="J121" s="94"/>
      <c r="K121" s="94"/>
      <c r="L121" s="97">
        <f>L118-L119-L120</f>
        <v>388.86999999999995</v>
      </c>
    </row>
    <row r="122" spans="2:12" ht="36">
      <c r="B122" s="292" t="str">
        <f>Orçamento!B189</f>
        <v>12.2</v>
      </c>
      <c r="C122" s="126" t="str">
        <f>Orçamento!C189</f>
        <v>Reboco traco 1:2:8 (cimento, cal e areia media), espessura 2,0cm, preparo mecânico</v>
      </c>
      <c r="D122" s="90" t="s">
        <v>38</v>
      </c>
      <c r="E122" s="102"/>
      <c r="F122" s="102"/>
      <c r="G122" s="102"/>
      <c r="H122" s="102"/>
      <c r="I122" s="102"/>
      <c r="J122" s="102"/>
      <c r="K122" s="102"/>
      <c r="L122" s="128"/>
    </row>
    <row r="123" spans="2:12" ht="18">
      <c r="B123" s="85"/>
      <c r="C123" s="126"/>
      <c r="D123" s="90"/>
      <c r="E123" s="188" t="s">
        <v>676</v>
      </c>
      <c r="F123" s="88"/>
      <c r="G123" s="146"/>
      <c r="H123" s="88"/>
      <c r="I123" s="88">
        <v>434.34</v>
      </c>
      <c r="J123" s="146"/>
      <c r="K123" s="88"/>
      <c r="L123" s="89">
        <f>I123</f>
        <v>434.34</v>
      </c>
    </row>
    <row r="124" spans="2:12" ht="18">
      <c r="B124" s="85"/>
      <c r="C124" s="126"/>
      <c r="D124" s="90"/>
      <c r="E124" s="102" t="s">
        <v>677</v>
      </c>
      <c r="F124" s="88"/>
      <c r="G124" s="146"/>
      <c r="H124" s="88"/>
      <c r="I124" s="88">
        <f>8.42+8.98+8.72</f>
        <v>26.119999999999997</v>
      </c>
      <c r="J124" s="102"/>
      <c r="K124" s="88"/>
      <c r="L124" s="89">
        <f>I124</f>
        <v>26.119999999999997</v>
      </c>
    </row>
    <row r="125" spans="2:12" ht="18">
      <c r="B125" s="85"/>
      <c r="C125" s="126"/>
      <c r="D125" s="90"/>
      <c r="E125" s="102" t="s">
        <v>748</v>
      </c>
      <c r="F125" s="88"/>
      <c r="G125" s="146"/>
      <c r="H125" s="88"/>
      <c r="I125" s="88">
        <f>6.45*3</f>
        <v>19.35</v>
      </c>
      <c r="J125" s="102"/>
      <c r="K125" s="88"/>
      <c r="L125" s="89">
        <f>I125</f>
        <v>19.35</v>
      </c>
    </row>
    <row r="126" spans="2:12" ht="18">
      <c r="B126" s="85"/>
      <c r="C126" s="126"/>
      <c r="D126" s="90"/>
      <c r="E126" s="102" t="s">
        <v>751</v>
      </c>
      <c r="F126" s="88"/>
      <c r="G126" s="146"/>
      <c r="H126" s="88"/>
      <c r="I126" s="88">
        <f>L133</f>
        <v>192.154</v>
      </c>
      <c r="J126" s="102"/>
      <c r="K126" s="88"/>
      <c r="L126" s="89">
        <f>I126</f>
        <v>192.154</v>
      </c>
    </row>
    <row r="127" spans="2:12" ht="18">
      <c r="B127" s="85"/>
      <c r="C127" s="126"/>
      <c r="D127" s="90"/>
      <c r="E127" s="101"/>
      <c r="F127" s="94"/>
      <c r="G127" s="94"/>
      <c r="H127" s="94"/>
      <c r="I127" s="94"/>
      <c r="J127" s="94"/>
      <c r="K127" s="94"/>
      <c r="L127" s="97">
        <f>L123-L124-L125-L126</f>
        <v>196.71599999999995</v>
      </c>
    </row>
    <row r="128" spans="2:12" ht="36">
      <c r="B128" s="290" t="str">
        <f>Orçamento!B190</f>
        <v>12.3</v>
      </c>
      <c r="C128" s="109" t="str">
        <f>Orçamento!C190</f>
        <v>Emboco traco 1:2:8 (cimento, cal e areia media), espessura 1,5cm, preparo mecânico</v>
      </c>
      <c r="D128" s="82" t="s">
        <v>38</v>
      </c>
      <c r="E128" s="414"/>
      <c r="F128" s="83"/>
      <c r="G128" s="83"/>
      <c r="H128" s="83"/>
      <c r="I128" s="83"/>
      <c r="J128" s="83"/>
      <c r="K128" s="83"/>
      <c r="L128" s="84"/>
    </row>
    <row r="129" spans="2:12" ht="18">
      <c r="B129" s="292"/>
      <c r="C129" s="126"/>
      <c r="D129" s="90"/>
      <c r="E129" s="129" t="s">
        <v>675</v>
      </c>
      <c r="F129" s="143">
        <v>3.45</v>
      </c>
      <c r="G129" s="143"/>
      <c r="H129" s="143">
        <v>5.91</v>
      </c>
      <c r="I129" s="140">
        <f>F129*H129</f>
        <v>20.3895</v>
      </c>
      <c r="J129" s="102"/>
      <c r="K129" s="102"/>
      <c r="L129" s="89">
        <f>I129</f>
        <v>20.3895</v>
      </c>
    </row>
    <row r="130" spans="2:12" ht="18">
      <c r="B130" s="292"/>
      <c r="C130" s="126"/>
      <c r="D130" s="90"/>
      <c r="E130" s="98" t="s">
        <v>591</v>
      </c>
      <c r="F130" s="143">
        <v>7.2</v>
      </c>
      <c r="G130" s="102"/>
      <c r="H130" s="140">
        <v>5.265</v>
      </c>
      <c r="I130" s="140">
        <f>F130*H130</f>
        <v>37.908</v>
      </c>
      <c r="J130" s="102"/>
      <c r="K130" s="102"/>
      <c r="L130" s="89">
        <f>I130-0.4</f>
        <v>37.508</v>
      </c>
    </row>
    <row r="131" spans="2:12" ht="18">
      <c r="B131" s="292"/>
      <c r="C131" s="126"/>
      <c r="D131" s="90"/>
      <c r="E131" s="98" t="s">
        <v>750</v>
      </c>
      <c r="F131" s="143">
        <v>22.25</v>
      </c>
      <c r="G131" s="143"/>
      <c r="H131" s="143">
        <v>3.85</v>
      </c>
      <c r="I131" s="140">
        <f>F131*H131</f>
        <v>85.66250000000001</v>
      </c>
      <c r="J131" s="102"/>
      <c r="K131" s="102"/>
      <c r="L131" s="89">
        <f>I131</f>
        <v>85.66250000000001</v>
      </c>
    </row>
    <row r="132" spans="2:12" ht="18">
      <c r="B132" s="292"/>
      <c r="C132" s="126"/>
      <c r="D132" s="90"/>
      <c r="E132" s="98" t="s">
        <v>672</v>
      </c>
      <c r="F132" s="143">
        <f>2.4+15.8</f>
        <v>18.2</v>
      </c>
      <c r="G132" s="102"/>
      <c r="H132" s="140">
        <v>2.67</v>
      </c>
      <c r="I132" s="140">
        <f>F132*H132</f>
        <v>48.593999999999994</v>
      </c>
      <c r="J132" s="102"/>
      <c r="K132" s="102"/>
      <c r="L132" s="89">
        <f>I132</f>
        <v>48.593999999999994</v>
      </c>
    </row>
    <row r="133" spans="2:12" ht="18">
      <c r="B133" s="415"/>
      <c r="C133" s="113"/>
      <c r="D133" s="96"/>
      <c r="E133" s="380"/>
      <c r="F133" s="95"/>
      <c r="G133" s="95"/>
      <c r="H133" s="95"/>
      <c r="I133" s="95"/>
      <c r="J133" s="95"/>
      <c r="K133" s="95"/>
      <c r="L133" s="97">
        <f>SUM(L129:L132)</f>
        <v>192.154</v>
      </c>
    </row>
    <row r="134" spans="2:12" ht="36">
      <c r="B134" s="290" t="str">
        <f>Orçamento!B191</f>
        <v>12.4</v>
      </c>
      <c r="C134" s="109" t="str">
        <f>Orçamento!C191</f>
        <v>Argento Line, natural retificado, similar linha concretyssimo</v>
      </c>
      <c r="D134" s="82" t="s">
        <v>38</v>
      </c>
      <c r="E134" s="100"/>
      <c r="F134" s="81"/>
      <c r="G134" s="81"/>
      <c r="H134" s="81"/>
      <c r="I134" s="81"/>
      <c r="J134" s="81"/>
      <c r="K134" s="81"/>
      <c r="L134" s="84"/>
    </row>
    <row r="135" spans="2:12" ht="18">
      <c r="B135" s="85"/>
      <c r="C135" s="126"/>
      <c r="D135" s="90"/>
      <c r="E135" s="98" t="s">
        <v>590</v>
      </c>
      <c r="F135" s="143">
        <v>3.45</v>
      </c>
      <c r="G135" s="143"/>
      <c r="H135" s="143">
        <v>5.91</v>
      </c>
      <c r="I135" s="140">
        <f>F135*H135</f>
        <v>20.3895</v>
      </c>
      <c r="J135" s="102"/>
      <c r="K135" s="102"/>
      <c r="L135" s="89">
        <f>I135</f>
        <v>20.3895</v>
      </c>
    </row>
    <row r="136" spans="2:12" ht="18">
      <c r="B136" s="85"/>
      <c r="C136" s="126"/>
      <c r="D136" s="90"/>
      <c r="E136" s="98" t="s">
        <v>749</v>
      </c>
      <c r="F136" s="143">
        <v>22.25</v>
      </c>
      <c r="G136" s="143"/>
      <c r="H136" s="143">
        <v>3.85</v>
      </c>
      <c r="I136" s="140">
        <f>F136*H136</f>
        <v>85.66250000000001</v>
      </c>
      <c r="J136" s="102"/>
      <c r="K136" s="102"/>
      <c r="L136" s="89">
        <f>I136</f>
        <v>85.66250000000001</v>
      </c>
    </row>
    <row r="137" spans="2:12" ht="18">
      <c r="B137" s="91"/>
      <c r="C137" s="113"/>
      <c r="D137" s="96"/>
      <c r="E137" s="101"/>
      <c r="F137" s="94"/>
      <c r="G137" s="94"/>
      <c r="H137" s="94"/>
      <c r="I137" s="94"/>
      <c r="J137" s="94"/>
      <c r="K137" s="94"/>
      <c r="L137" s="97">
        <f>SUM(L135:L136)</f>
        <v>106.052</v>
      </c>
    </row>
    <row r="138" spans="2:12" ht="54">
      <c r="B138" s="292" t="str">
        <f>Orçamento!B192</f>
        <v>12.5</v>
      </c>
      <c r="C138" s="126" t="str">
        <f>Orçamento!C192</f>
        <v>Cerâmica tipo madeira, canela de demolição 20x120cm, natural retificado, similar a portobello</v>
      </c>
      <c r="D138" s="90" t="s">
        <v>38</v>
      </c>
      <c r="E138" s="98"/>
      <c r="F138" s="102"/>
      <c r="G138" s="102"/>
      <c r="H138" s="102"/>
      <c r="I138" s="102"/>
      <c r="J138" s="102"/>
      <c r="K138" s="102"/>
      <c r="L138" s="99"/>
    </row>
    <row r="139" spans="2:12" ht="18">
      <c r="B139" s="85"/>
      <c r="C139" s="126"/>
      <c r="D139" s="90"/>
      <c r="E139" s="98" t="s">
        <v>591</v>
      </c>
      <c r="F139" s="143">
        <v>7.2</v>
      </c>
      <c r="G139" s="102"/>
      <c r="H139" s="140">
        <v>5.265</v>
      </c>
      <c r="I139" s="140">
        <f>F139*H139</f>
        <v>37.908</v>
      </c>
      <c r="J139" s="102"/>
      <c r="K139" s="102"/>
      <c r="L139" s="89">
        <f>I139-0.4</f>
        <v>37.508</v>
      </c>
    </row>
    <row r="140" spans="2:12" ht="18">
      <c r="B140" s="85"/>
      <c r="C140" s="126"/>
      <c r="D140" s="90"/>
      <c r="E140" s="98" t="s">
        <v>672</v>
      </c>
      <c r="F140" s="143">
        <f>2.4+15.8</f>
        <v>18.2</v>
      </c>
      <c r="G140" s="102"/>
      <c r="H140" s="140">
        <v>2.67</v>
      </c>
      <c r="I140" s="140">
        <f>F140*H140</f>
        <v>48.593999999999994</v>
      </c>
      <c r="J140" s="102"/>
      <c r="K140" s="102"/>
      <c r="L140" s="89">
        <f>I140-0.79*7</f>
        <v>43.06399999999999</v>
      </c>
    </row>
    <row r="141" spans="2:12" ht="18">
      <c r="B141" s="85"/>
      <c r="C141" s="126"/>
      <c r="D141" s="90"/>
      <c r="E141" s="98"/>
      <c r="F141" s="102"/>
      <c r="G141" s="102"/>
      <c r="H141" s="102"/>
      <c r="I141" s="102"/>
      <c r="J141" s="102"/>
      <c r="K141" s="102"/>
      <c r="L141" s="99">
        <f>SUM(L139:L140)</f>
        <v>80.572</v>
      </c>
    </row>
    <row r="142" spans="2:12" ht="18">
      <c r="B142" s="290" t="str">
        <f>Orçamento!B193</f>
        <v>12.6</v>
      </c>
      <c r="C142" s="109" t="str">
        <f>Orçamento!C193</f>
        <v>Peitoril em granito l=15cm</v>
      </c>
      <c r="D142" s="82" t="s">
        <v>33</v>
      </c>
      <c r="E142" s="100"/>
      <c r="F142" s="81"/>
      <c r="G142" s="81"/>
      <c r="H142" s="81"/>
      <c r="I142" s="81"/>
      <c r="J142" s="81"/>
      <c r="K142" s="81"/>
      <c r="L142" s="84"/>
    </row>
    <row r="143" spans="2:12" ht="18">
      <c r="B143" s="292"/>
      <c r="C143" s="126"/>
      <c r="D143" s="90"/>
      <c r="E143" s="126" t="s">
        <v>840</v>
      </c>
      <c r="F143" s="131"/>
      <c r="G143" s="140">
        <v>1.2</v>
      </c>
      <c r="H143" s="102"/>
      <c r="I143" s="102"/>
      <c r="J143" s="102"/>
      <c r="K143" s="140">
        <v>1</v>
      </c>
      <c r="L143" s="142">
        <f>G143*K143</f>
        <v>1.2</v>
      </c>
    </row>
    <row r="144" spans="2:12" ht="18">
      <c r="B144" s="292"/>
      <c r="C144" s="126"/>
      <c r="D144" s="90"/>
      <c r="E144" s="126" t="s">
        <v>841</v>
      </c>
      <c r="F144" s="131"/>
      <c r="G144" s="140">
        <v>1.5</v>
      </c>
      <c r="H144" s="102"/>
      <c r="I144" s="102"/>
      <c r="J144" s="102"/>
      <c r="K144" s="140">
        <v>1</v>
      </c>
      <c r="L144" s="142">
        <f aca="true" t="shared" si="1" ref="L144:L151">G144*K144</f>
        <v>1.5</v>
      </c>
    </row>
    <row r="145" spans="2:12" ht="18">
      <c r="B145" s="292"/>
      <c r="C145" s="126"/>
      <c r="D145" s="90"/>
      <c r="E145" s="126" t="s">
        <v>842</v>
      </c>
      <c r="F145" s="131"/>
      <c r="G145" s="140">
        <v>1.5</v>
      </c>
      <c r="H145" s="102"/>
      <c r="I145" s="102"/>
      <c r="J145" s="102"/>
      <c r="K145" s="140">
        <v>1</v>
      </c>
      <c r="L145" s="142">
        <f t="shared" si="1"/>
        <v>1.5</v>
      </c>
    </row>
    <row r="146" spans="2:12" ht="18">
      <c r="B146" s="292"/>
      <c r="C146" s="126"/>
      <c r="D146" s="90"/>
      <c r="E146" s="126" t="s">
        <v>844</v>
      </c>
      <c r="F146" s="131"/>
      <c r="G146" s="140">
        <v>2</v>
      </c>
      <c r="H146" s="102"/>
      <c r="I146" s="102"/>
      <c r="J146" s="102"/>
      <c r="K146" s="140">
        <v>1</v>
      </c>
      <c r="L146" s="142">
        <f t="shared" si="1"/>
        <v>2</v>
      </c>
    </row>
    <row r="147" spans="2:12" ht="18">
      <c r="B147" s="292"/>
      <c r="C147" s="126"/>
      <c r="D147" s="90"/>
      <c r="E147" s="126" t="s">
        <v>843</v>
      </c>
      <c r="F147" s="131"/>
      <c r="G147" s="140">
        <v>0.8</v>
      </c>
      <c r="H147" s="140"/>
      <c r="I147" s="140"/>
      <c r="J147" s="131"/>
      <c r="K147" s="140">
        <v>1</v>
      </c>
      <c r="L147" s="142">
        <f t="shared" si="1"/>
        <v>0.8</v>
      </c>
    </row>
    <row r="148" spans="2:12" ht="18">
      <c r="B148" s="292"/>
      <c r="C148" s="126"/>
      <c r="D148" s="90"/>
      <c r="E148" s="126" t="s">
        <v>845</v>
      </c>
      <c r="F148" s="131"/>
      <c r="G148" s="140">
        <v>0.9</v>
      </c>
      <c r="H148" s="140"/>
      <c r="I148" s="140"/>
      <c r="J148" s="131"/>
      <c r="K148" s="140">
        <v>3</v>
      </c>
      <c r="L148" s="142">
        <f t="shared" si="1"/>
        <v>2.7</v>
      </c>
    </row>
    <row r="149" spans="2:12" ht="18">
      <c r="B149" s="292"/>
      <c r="C149" s="126"/>
      <c r="D149" s="90"/>
      <c r="E149" s="126" t="s">
        <v>846</v>
      </c>
      <c r="F149" s="131"/>
      <c r="G149" s="140">
        <v>1</v>
      </c>
      <c r="H149" s="140"/>
      <c r="I149" s="140"/>
      <c r="J149" s="131"/>
      <c r="K149" s="140">
        <v>5</v>
      </c>
      <c r="L149" s="142">
        <f t="shared" si="1"/>
        <v>5</v>
      </c>
    </row>
    <row r="150" spans="2:12" ht="18">
      <c r="B150" s="292"/>
      <c r="C150" s="126"/>
      <c r="D150" s="90"/>
      <c r="E150" s="126" t="s">
        <v>847</v>
      </c>
      <c r="F150" s="131"/>
      <c r="G150" s="140">
        <v>2.9</v>
      </c>
      <c r="H150" s="102"/>
      <c r="I150" s="102"/>
      <c r="J150" s="102"/>
      <c r="K150" s="140">
        <v>1</v>
      </c>
      <c r="L150" s="142">
        <f t="shared" si="1"/>
        <v>2.9</v>
      </c>
    </row>
    <row r="151" spans="2:12" ht="18">
      <c r="B151" s="85"/>
      <c r="C151" s="126"/>
      <c r="D151" s="90"/>
      <c r="E151" s="126" t="s">
        <v>848</v>
      </c>
      <c r="F151" s="131"/>
      <c r="G151" s="140">
        <v>1.1</v>
      </c>
      <c r="H151" s="102"/>
      <c r="I151" s="102"/>
      <c r="J151" s="102"/>
      <c r="K151" s="140">
        <v>1</v>
      </c>
      <c r="L151" s="142">
        <f t="shared" si="1"/>
        <v>1.1</v>
      </c>
    </row>
    <row r="152" spans="2:12" ht="18">
      <c r="B152" s="85"/>
      <c r="C152" s="126"/>
      <c r="D152" s="90"/>
      <c r="E152" s="98"/>
      <c r="F152" s="102"/>
      <c r="G152" s="102"/>
      <c r="H152" s="102"/>
      <c r="I152" s="102"/>
      <c r="J152" s="102"/>
      <c r="K152" s="102"/>
      <c r="L152" s="99">
        <f>SUM(L143:L151)</f>
        <v>18.7</v>
      </c>
    </row>
    <row r="153" spans="2:12" ht="18">
      <c r="B153" s="416" t="str">
        <f>Orçamento!B194</f>
        <v>12.7</v>
      </c>
      <c r="C153" s="417" t="str">
        <f>Orçamento!C194</f>
        <v>Platibanda</v>
      </c>
      <c r="D153" s="418" t="s">
        <v>38</v>
      </c>
      <c r="E153" s="419"/>
      <c r="F153" s="419"/>
      <c r="G153" s="419"/>
      <c r="H153" s="419"/>
      <c r="I153" s="419"/>
      <c r="J153" s="419"/>
      <c r="K153" s="419"/>
      <c r="L153" s="420"/>
    </row>
    <row r="154" spans="2:12" ht="54">
      <c r="B154" s="290" t="str">
        <f>Orçamento!B195</f>
        <v>12.7.1</v>
      </c>
      <c r="C154" s="109" t="str">
        <f>Orçamento!C195</f>
        <v>Chapisco traco 1:3 (cimento e areia media), espessura 0,5cm, preparo manualda argamassa</v>
      </c>
      <c r="D154" s="82" t="s">
        <v>38</v>
      </c>
      <c r="E154" s="381"/>
      <c r="F154" s="149"/>
      <c r="G154" s="81"/>
      <c r="H154" s="149"/>
      <c r="I154" s="149"/>
      <c r="J154" s="81"/>
      <c r="K154" s="83"/>
      <c r="L154" s="379"/>
    </row>
    <row r="155" spans="2:12" ht="18">
      <c r="B155" s="85"/>
      <c r="C155" s="126"/>
      <c r="D155" s="90"/>
      <c r="E155" s="98" t="s">
        <v>508</v>
      </c>
      <c r="F155" s="88">
        <v>65.9</v>
      </c>
      <c r="G155" s="88"/>
      <c r="H155" s="88">
        <v>1.7</v>
      </c>
      <c r="I155" s="88">
        <f>F155*H155</f>
        <v>112.03</v>
      </c>
      <c r="J155" s="88"/>
      <c r="K155" s="88"/>
      <c r="L155" s="89">
        <f>I155</f>
        <v>112.03</v>
      </c>
    </row>
    <row r="156" spans="2:12" ht="18">
      <c r="B156" s="85"/>
      <c r="C156" s="126"/>
      <c r="D156" s="90"/>
      <c r="E156" s="129" t="s">
        <v>511</v>
      </c>
      <c r="F156" s="88">
        <v>2.075</v>
      </c>
      <c r="G156" s="88"/>
      <c r="H156" s="88">
        <v>2.17</v>
      </c>
      <c r="I156" s="88">
        <f>F156*H156</f>
        <v>4.50275</v>
      </c>
      <c r="J156" s="88"/>
      <c r="K156" s="88">
        <v>2</v>
      </c>
      <c r="L156" s="89">
        <f>I156*K156</f>
        <v>9.0055</v>
      </c>
    </row>
    <row r="157" spans="2:12" ht="18">
      <c r="B157" s="85"/>
      <c r="C157" s="126"/>
      <c r="D157" s="90"/>
      <c r="E157" s="129"/>
      <c r="F157" s="88"/>
      <c r="G157" s="88"/>
      <c r="H157" s="88"/>
      <c r="I157" s="88"/>
      <c r="J157" s="88"/>
      <c r="K157" s="88"/>
      <c r="L157" s="99">
        <f>SUM(L155:L156)</f>
        <v>121.0355</v>
      </c>
    </row>
    <row r="158" spans="2:12" ht="36">
      <c r="B158" s="290" t="str">
        <f>Orçamento!B196</f>
        <v>12.7.2</v>
      </c>
      <c r="C158" s="109" t="str">
        <f>Orçamento!C196</f>
        <v>Reboco traco 1:2:8 (cimento, cal e areia media), espessura 2,0cm, preparo mecânico</v>
      </c>
      <c r="D158" s="82" t="s">
        <v>38</v>
      </c>
      <c r="E158" s="100"/>
      <c r="F158" s="83"/>
      <c r="G158" s="83"/>
      <c r="H158" s="83"/>
      <c r="I158" s="83"/>
      <c r="J158" s="83"/>
      <c r="K158" s="82"/>
      <c r="L158" s="84"/>
    </row>
    <row r="159" spans="2:12" ht="18">
      <c r="B159" s="85"/>
      <c r="C159" s="126"/>
      <c r="D159" s="90"/>
      <c r="E159" s="98" t="s">
        <v>508</v>
      </c>
      <c r="F159" s="88">
        <v>65.9</v>
      </c>
      <c r="G159" s="88"/>
      <c r="H159" s="88">
        <v>1.7</v>
      </c>
      <c r="I159" s="88">
        <f>F159*H159</f>
        <v>112.03</v>
      </c>
      <c r="J159" s="88"/>
      <c r="K159" s="88"/>
      <c r="L159" s="89">
        <f>I159</f>
        <v>112.03</v>
      </c>
    </row>
    <row r="160" spans="2:12" ht="18">
      <c r="B160" s="85"/>
      <c r="C160" s="126"/>
      <c r="D160" s="90"/>
      <c r="E160" s="129" t="s">
        <v>511</v>
      </c>
      <c r="F160" s="88">
        <v>2.075</v>
      </c>
      <c r="G160" s="88"/>
      <c r="H160" s="88">
        <v>2.17</v>
      </c>
      <c r="I160" s="88">
        <f>F160*H160</f>
        <v>4.50275</v>
      </c>
      <c r="J160" s="88"/>
      <c r="K160" s="88">
        <v>2</v>
      </c>
      <c r="L160" s="89">
        <f>I160*K160</f>
        <v>9.0055</v>
      </c>
    </row>
    <row r="161" spans="2:12" ht="18">
      <c r="B161" s="85"/>
      <c r="C161" s="126"/>
      <c r="D161" s="90"/>
      <c r="E161" s="129"/>
      <c r="F161" s="88"/>
      <c r="G161" s="88"/>
      <c r="H161" s="88"/>
      <c r="I161" s="88"/>
      <c r="J161" s="88"/>
      <c r="K161" s="88"/>
      <c r="L161" s="99">
        <f>SUM(L159:L160)</f>
        <v>121.0355</v>
      </c>
    </row>
    <row r="162" spans="2:12" ht="18">
      <c r="B162" s="374" t="str">
        <f>Orçamento!B197</f>
        <v>13.00</v>
      </c>
      <c r="C162" s="75" t="str">
        <f>Orçamento!C197</f>
        <v>PAVIMENTAÇÃO</v>
      </c>
      <c r="D162" s="75"/>
      <c r="E162" s="76"/>
      <c r="F162" s="77"/>
      <c r="G162" s="77"/>
      <c r="H162" s="77"/>
      <c r="I162" s="77"/>
      <c r="J162" s="77"/>
      <c r="K162" s="77"/>
      <c r="L162" s="78"/>
    </row>
    <row r="163" spans="2:12" ht="54">
      <c r="B163" s="290" t="str">
        <f>Orçamento!B198</f>
        <v>13.1</v>
      </c>
      <c r="C163" s="109" t="str">
        <f>Orçamento!C198</f>
        <v>Contrapiso em argamassa traco 1:4 (cimento e areia), espessura 7cm, preparo manual</v>
      </c>
      <c r="D163" s="82" t="s">
        <v>38</v>
      </c>
      <c r="E163" s="414"/>
      <c r="F163" s="83"/>
      <c r="G163" s="83"/>
      <c r="H163" s="83"/>
      <c r="I163" s="83"/>
      <c r="J163" s="83"/>
      <c r="K163" s="83"/>
      <c r="L163" s="84"/>
    </row>
    <row r="164" spans="2:12" ht="18">
      <c r="B164" s="292"/>
      <c r="C164" s="126"/>
      <c r="D164" s="90"/>
      <c r="E164" s="595" t="s">
        <v>61</v>
      </c>
      <c r="F164" s="88"/>
      <c r="G164" s="88"/>
      <c r="H164" s="88"/>
      <c r="I164" s="88"/>
      <c r="J164" s="88"/>
      <c r="K164" s="88"/>
      <c r="L164" s="99"/>
    </row>
    <row r="165" spans="2:12" ht="18">
      <c r="B165" s="292"/>
      <c r="C165" s="126"/>
      <c r="D165" s="90"/>
      <c r="E165" s="129" t="s">
        <v>733</v>
      </c>
      <c r="F165" s="88"/>
      <c r="G165" s="88"/>
      <c r="H165" s="88">
        <v>0.07</v>
      </c>
      <c r="I165" s="88">
        <v>7.12</v>
      </c>
      <c r="J165" s="88">
        <f>H165*I165</f>
        <v>0.49840000000000007</v>
      </c>
      <c r="K165" s="88"/>
      <c r="L165" s="89">
        <f>J165</f>
        <v>0.49840000000000007</v>
      </c>
    </row>
    <row r="166" spans="2:12" ht="18">
      <c r="B166" s="85"/>
      <c r="C166" s="126"/>
      <c r="D166" s="90"/>
      <c r="E166" s="98" t="s">
        <v>546</v>
      </c>
      <c r="F166" s="88"/>
      <c r="G166" s="88"/>
      <c r="H166" s="88">
        <v>0.07</v>
      </c>
      <c r="I166" s="88">
        <f>11.08+31.19+29.93</f>
        <v>72.2</v>
      </c>
      <c r="J166" s="88">
        <f aca="true" t="shared" si="2" ref="J166:J187">H166*I166</f>
        <v>5.054</v>
      </c>
      <c r="K166" s="88"/>
      <c r="L166" s="89">
        <f aca="true" t="shared" si="3" ref="L166:L187">J166</f>
        <v>5.054</v>
      </c>
    </row>
    <row r="167" spans="2:12" ht="18">
      <c r="B167" s="85"/>
      <c r="C167" s="126"/>
      <c r="D167" s="90"/>
      <c r="E167" s="98" t="s">
        <v>534</v>
      </c>
      <c r="F167" s="88"/>
      <c r="G167" s="88"/>
      <c r="H167" s="88">
        <v>0.07</v>
      </c>
      <c r="I167" s="88">
        <v>18.73</v>
      </c>
      <c r="J167" s="88">
        <f t="shared" si="2"/>
        <v>1.3111000000000002</v>
      </c>
      <c r="K167" s="88"/>
      <c r="L167" s="89">
        <f t="shared" si="3"/>
        <v>1.3111000000000002</v>
      </c>
    </row>
    <row r="168" spans="2:12" ht="18">
      <c r="B168" s="85"/>
      <c r="C168" s="126"/>
      <c r="D168" s="90"/>
      <c r="E168" s="102" t="s">
        <v>91</v>
      </c>
      <c r="F168" s="88"/>
      <c r="G168" s="88"/>
      <c r="H168" s="88">
        <v>0.07</v>
      </c>
      <c r="I168" s="143">
        <v>4.78</v>
      </c>
      <c r="J168" s="88">
        <f t="shared" si="2"/>
        <v>0.33460000000000006</v>
      </c>
      <c r="K168" s="88"/>
      <c r="L168" s="89">
        <f t="shared" si="3"/>
        <v>0.33460000000000006</v>
      </c>
    </row>
    <row r="169" spans="2:12" ht="18">
      <c r="B169" s="85"/>
      <c r="C169" s="126"/>
      <c r="D169" s="90"/>
      <c r="E169" s="98" t="s">
        <v>556</v>
      </c>
      <c r="F169" s="88"/>
      <c r="G169" s="88"/>
      <c r="H169" s="88">
        <v>0.07</v>
      </c>
      <c r="I169" s="143">
        <f>5.95+2.75</f>
        <v>8.7</v>
      </c>
      <c r="J169" s="88">
        <f t="shared" si="2"/>
        <v>0.609</v>
      </c>
      <c r="K169" s="88"/>
      <c r="L169" s="89">
        <f t="shared" si="3"/>
        <v>0.609</v>
      </c>
    </row>
    <row r="170" spans="2:12" ht="18">
      <c r="B170" s="85"/>
      <c r="C170" s="126"/>
      <c r="D170" s="90"/>
      <c r="E170" s="98" t="s">
        <v>547</v>
      </c>
      <c r="F170" s="88"/>
      <c r="G170" s="88"/>
      <c r="H170" s="88">
        <v>0.07</v>
      </c>
      <c r="I170" s="88">
        <v>14.73</v>
      </c>
      <c r="J170" s="88">
        <f t="shared" si="2"/>
        <v>1.0311000000000001</v>
      </c>
      <c r="K170" s="88"/>
      <c r="L170" s="89">
        <f t="shared" si="3"/>
        <v>1.0311000000000001</v>
      </c>
    </row>
    <row r="171" spans="2:12" ht="18">
      <c r="B171" s="85"/>
      <c r="C171" s="126"/>
      <c r="D171" s="90"/>
      <c r="E171" s="98" t="s">
        <v>535</v>
      </c>
      <c r="F171" s="88"/>
      <c r="G171" s="88"/>
      <c r="H171" s="88">
        <v>0.07</v>
      </c>
      <c r="I171" s="88">
        <v>4.8</v>
      </c>
      <c r="J171" s="88">
        <f t="shared" si="2"/>
        <v>0.336</v>
      </c>
      <c r="K171" s="88"/>
      <c r="L171" s="89">
        <f t="shared" si="3"/>
        <v>0.336</v>
      </c>
    </row>
    <row r="172" spans="2:12" ht="18">
      <c r="B172" s="85"/>
      <c r="C172" s="126"/>
      <c r="D172" s="90"/>
      <c r="E172" s="98" t="s">
        <v>536</v>
      </c>
      <c r="F172" s="88"/>
      <c r="G172" s="88"/>
      <c r="H172" s="88">
        <v>0.07</v>
      </c>
      <c r="I172" s="88">
        <v>4.8</v>
      </c>
      <c r="J172" s="88">
        <f t="shared" si="2"/>
        <v>0.336</v>
      </c>
      <c r="K172" s="88"/>
      <c r="L172" s="89">
        <f t="shared" si="3"/>
        <v>0.336</v>
      </c>
    </row>
    <row r="173" spans="2:12" ht="18">
      <c r="B173" s="85"/>
      <c r="C173" s="126"/>
      <c r="D173" s="90"/>
      <c r="E173" s="98" t="s">
        <v>537</v>
      </c>
      <c r="F173" s="88"/>
      <c r="G173" s="88"/>
      <c r="H173" s="88">
        <v>0.07</v>
      </c>
      <c r="I173" s="88">
        <v>19.3</v>
      </c>
      <c r="J173" s="88">
        <f t="shared" si="2"/>
        <v>1.3510000000000002</v>
      </c>
      <c r="K173" s="88"/>
      <c r="L173" s="89">
        <f t="shared" si="3"/>
        <v>1.3510000000000002</v>
      </c>
    </row>
    <row r="174" spans="2:12" ht="18">
      <c r="B174" s="85"/>
      <c r="C174" s="126"/>
      <c r="D174" s="90"/>
      <c r="E174" s="98" t="s">
        <v>60</v>
      </c>
      <c r="F174" s="88"/>
      <c r="G174" s="88"/>
      <c r="H174" s="88">
        <v>0.07</v>
      </c>
      <c r="I174" s="88">
        <v>6.23</v>
      </c>
      <c r="J174" s="88">
        <f t="shared" si="2"/>
        <v>0.4361000000000001</v>
      </c>
      <c r="K174" s="88"/>
      <c r="L174" s="89">
        <f t="shared" si="3"/>
        <v>0.4361000000000001</v>
      </c>
    </row>
    <row r="175" spans="2:12" ht="18">
      <c r="B175" s="85"/>
      <c r="C175" s="126"/>
      <c r="D175" s="90"/>
      <c r="E175" s="98" t="s">
        <v>90</v>
      </c>
      <c r="F175" s="88"/>
      <c r="G175" s="88"/>
      <c r="H175" s="88">
        <v>0.07</v>
      </c>
      <c r="I175" s="88">
        <v>11.97</v>
      </c>
      <c r="J175" s="88">
        <f t="shared" si="2"/>
        <v>0.8379000000000001</v>
      </c>
      <c r="K175" s="88"/>
      <c r="L175" s="89">
        <f t="shared" si="3"/>
        <v>0.8379000000000001</v>
      </c>
    </row>
    <row r="176" spans="2:12" ht="18">
      <c r="B176" s="85"/>
      <c r="C176" s="126"/>
      <c r="D176" s="90"/>
      <c r="E176" s="98" t="s">
        <v>89</v>
      </c>
      <c r="F176" s="88"/>
      <c r="G176" s="88"/>
      <c r="H176" s="88">
        <v>0.07</v>
      </c>
      <c r="I176" s="88">
        <v>2.63</v>
      </c>
      <c r="J176" s="88">
        <f t="shared" si="2"/>
        <v>0.1841</v>
      </c>
      <c r="K176" s="88"/>
      <c r="L176" s="89">
        <f t="shared" si="3"/>
        <v>0.1841</v>
      </c>
    </row>
    <row r="177" spans="2:12" ht="18">
      <c r="B177" s="85"/>
      <c r="C177" s="126"/>
      <c r="D177" s="90"/>
      <c r="E177" s="98" t="s">
        <v>538</v>
      </c>
      <c r="F177" s="88"/>
      <c r="G177" s="88"/>
      <c r="H177" s="88">
        <v>0.07</v>
      </c>
      <c r="I177" s="88">
        <v>5.26</v>
      </c>
      <c r="J177" s="88">
        <f t="shared" si="2"/>
        <v>0.3682</v>
      </c>
      <c r="K177" s="88"/>
      <c r="L177" s="89">
        <f t="shared" si="3"/>
        <v>0.3682</v>
      </c>
    </row>
    <row r="178" spans="2:12" ht="18">
      <c r="B178" s="85"/>
      <c r="C178" s="126"/>
      <c r="D178" s="90"/>
      <c r="E178" s="190" t="s">
        <v>539</v>
      </c>
      <c r="F178" s="88"/>
      <c r="G178" s="88"/>
      <c r="H178" s="88">
        <v>0.07</v>
      </c>
      <c r="I178" s="88">
        <v>14.7</v>
      </c>
      <c r="J178" s="88">
        <f t="shared" si="2"/>
        <v>1.0290000000000001</v>
      </c>
      <c r="K178" s="88"/>
      <c r="L178" s="89">
        <f t="shared" si="3"/>
        <v>1.0290000000000001</v>
      </c>
    </row>
    <row r="179" spans="2:12" ht="18">
      <c r="B179" s="85"/>
      <c r="C179" s="126"/>
      <c r="D179" s="90"/>
      <c r="E179" s="98" t="s">
        <v>540</v>
      </c>
      <c r="F179" s="88"/>
      <c r="G179" s="88"/>
      <c r="H179" s="88">
        <v>0.07</v>
      </c>
      <c r="I179" s="88">
        <v>14.7</v>
      </c>
      <c r="J179" s="88">
        <f t="shared" si="2"/>
        <v>1.0290000000000001</v>
      </c>
      <c r="K179" s="88"/>
      <c r="L179" s="89">
        <f t="shared" si="3"/>
        <v>1.0290000000000001</v>
      </c>
    </row>
    <row r="180" spans="2:12" ht="18">
      <c r="B180" s="85"/>
      <c r="C180" s="126"/>
      <c r="D180" s="90"/>
      <c r="E180" s="98" t="s">
        <v>541</v>
      </c>
      <c r="F180" s="88"/>
      <c r="G180" s="88"/>
      <c r="H180" s="88">
        <v>0.07</v>
      </c>
      <c r="I180" s="88">
        <v>4.92</v>
      </c>
      <c r="J180" s="88">
        <f t="shared" si="2"/>
        <v>0.34440000000000004</v>
      </c>
      <c r="K180" s="88"/>
      <c r="L180" s="89">
        <f t="shared" si="3"/>
        <v>0.34440000000000004</v>
      </c>
    </row>
    <row r="181" spans="2:12" ht="18">
      <c r="B181" s="85"/>
      <c r="C181" s="126"/>
      <c r="D181" s="90"/>
      <c r="E181" s="98" t="s">
        <v>542</v>
      </c>
      <c r="F181" s="88"/>
      <c r="G181" s="88"/>
      <c r="H181" s="88">
        <v>0.07</v>
      </c>
      <c r="I181" s="88">
        <v>4.8</v>
      </c>
      <c r="J181" s="88">
        <f t="shared" si="2"/>
        <v>0.336</v>
      </c>
      <c r="K181" s="88"/>
      <c r="L181" s="89">
        <f t="shared" si="3"/>
        <v>0.336</v>
      </c>
    </row>
    <row r="182" spans="2:12" ht="18">
      <c r="B182" s="85"/>
      <c r="C182" s="126"/>
      <c r="D182" s="90"/>
      <c r="E182" s="98" t="s">
        <v>543</v>
      </c>
      <c r="F182" s="88"/>
      <c r="G182" s="88"/>
      <c r="H182" s="88">
        <v>0.07</v>
      </c>
      <c r="I182" s="88">
        <v>14.91</v>
      </c>
      <c r="J182" s="88">
        <f t="shared" si="2"/>
        <v>1.0437</v>
      </c>
      <c r="K182" s="88"/>
      <c r="L182" s="89">
        <f t="shared" si="3"/>
        <v>1.0437</v>
      </c>
    </row>
    <row r="183" spans="2:12" ht="18">
      <c r="B183" s="85"/>
      <c r="C183" s="126"/>
      <c r="D183" s="90"/>
      <c r="E183" s="98" t="s">
        <v>92</v>
      </c>
      <c r="F183" s="88"/>
      <c r="G183" s="88"/>
      <c r="H183" s="88">
        <v>0.07</v>
      </c>
      <c r="I183" s="88">
        <v>11.34</v>
      </c>
      <c r="J183" s="88">
        <f t="shared" si="2"/>
        <v>0.7938000000000001</v>
      </c>
      <c r="K183" s="88"/>
      <c r="L183" s="89">
        <f t="shared" si="3"/>
        <v>0.7938000000000001</v>
      </c>
    </row>
    <row r="184" spans="2:12" ht="18">
      <c r="B184" s="85"/>
      <c r="C184" s="126"/>
      <c r="D184" s="90"/>
      <c r="E184" s="98" t="s">
        <v>544</v>
      </c>
      <c r="F184" s="88"/>
      <c r="G184" s="88"/>
      <c r="H184" s="88">
        <v>0.07</v>
      </c>
      <c r="I184" s="88">
        <v>3.79</v>
      </c>
      <c r="J184" s="88">
        <f t="shared" si="2"/>
        <v>0.26530000000000004</v>
      </c>
      <c r="K184" s="88"/>
      <c r="L184" s="89">
        <f t="shared" si="3"/>
        <v>0.26530000000000004</v>
      </c>
    </row>
    <row r="185" spans="2:12" ht="18">
      <c r="B185" s="85"/>
      <c r="C185" s="126"/>
      <c r="D185" s="90"/>
      <c r="E185" s="98" t="s">
        <v>545</v>
      </c>
      <c r="F185" s="88"/>
      <c r="G185" s="88"/>
      <c r="H185" s="88">
        <v>0.07</v>
      </c>
      <c r="I185" s="88">
        <v>2.65</v>
      </c>
      <c r="J185" s="88">
        <f t="shared" si="2"/>
        <v>0.1855</v>
      </c>
      <c r="K185" s="88"/>
      <c r="L185" s="89">
        <f t="shared" si="3"/>
        <v>0.1855</v>
      </c>
    </row>
    <row r="186" spans="2:12" ht="18">
      <c r="B186" s="85"/>
      <c r="C186" s="126"/>
      <c r="D186" s="90"/>
      <c r="E186" s="98" t="s">
        <v>545</v>
      </c>
      <c r="F186" s="88"/>
      <c r="G186" s="88"/>
      <c r="H186" s="88">
        <v>0.07</v>
      </c>
      <c r="I186" s="88">
        <v>2.53</v>
      </c>
      <c r="J186" s="88">
        <f t="shared" si="2"/>
        <v>0.1771</v>
      </c>
      <c r="K186" s="88"/>
      <c r="L186" s="89">
        <f t="shared" si="3"/>
        <v>0.1771</v>
      </c>
    </row>
    <row r="187" spans="2:12" ht="18">
      <c r="B187" s="85"/>
      <c r="C187" s="126"/>
      <c r="D187" s="90"/>
      <c r="E187" s="98" t="s">
        <v>82</v>
      </c>
      <c r="F187" s="88"/>
      <c r="G187" s="88"/>
      <c r="H187" s="88">
        <v>0.07</v>
      </c>
      <c r="I187" s="88">
        <v>4.7</v>
      </c>
      <c r="J187" s="88">
        <f t="shared" si="2"/>
        <v>0.32900000000000007</v>
      </c>
      <c r="K187" s="88"/>
      <c r="L187" s="89">
        <f t="shared" si="3"/>
        <v>0.32900000000000007</v>
      </c>
    </row>
    <row r="188" spans="2:12" ht="18">
      <c r="B188" s="85"/>
      <c r="C188" s="126"/>
      <c r="D188" s="90"/>
      <c r="E188" s="129"/>
      <c r="F188" s="88"/>
      <c r="G188" s="88"/>
      <c r="H188" s="88"/>
      <c r="I188" s="88"/>
      <c r="J188" s="88"/>
      <c r="K188" s="88"/>
      <c r="L188" s="89"/>
    </row>
    <row r="189" spans="2:12" ht="18">
      <c r="B189" s="85"/>
      <c r="C189" s="126"/>
      <c r="D189" s="90"/>
      <c r="E189" s="595" t="s">
        <v>62</v>
      </c>
      <c r="F189" s="88"/>
      <c r="G189" s="88"/>
      <c r="H189" s="88"/>
      <c r="I189" s="88"/>
      <c r="J189" s="88"/>
      <c r="K189" s="88"/>
      <c r="L189" s="89"/>
    </row>
    <row r="190" spans="2:12" ht="18">
      <c r="B190" s="85"/>
      <c r="C190" s="126"/>
      <c r="D190" s="90"/>
      <c r="E190" s="129" t="s">
        <v>551</v>
      </c>
      <c r="F190" s="88"/>
      <c r="G190" s="88"/>
      <c r="H190" s="88">
        <v>0.07</v>
      </c>
      <c r="I190" s="88">
        <v>8.28</v>
      </c>
      <c r="J190" s="88">
        <f aca="true" t="shared" si="4" ref="J190:J195">H190*I190</f>
        <v>0.5796</v>
      </c>
      <c r="K190" s="88"/>
      <c r="L190" s="89">
        <f aca="true" t="shared" si="5" ref="L190:L195">J190</f>
        <v>0.5796</v>
      </c>
    </row>
    <row r="191" spans="2:12" ht="18">
      <c r="B191" s="85"/>
      <c r="C191" s="126"/>
      <c r="D191" s="90"/>
      <c r="E191" s="129" t="s">
        <v>550</v>
      </c>
      <c r="F191" s="88"/>
      <c r="G191" s="88"/>
      <c r="H191" s="88">
        <v>0.07</v>
      </c>
      <c r="I191" s="88">
        <v>11.76</v>
      </c>
      <c r="J191" s="88">
        <f t="shared" si="4"/>
        <v>0.8232</v>
      </c>
      <c r="K191" s="88"/>
      <c r="L191" s="89">
        <f t="shared" si="5"/>
        <v>0.8232</v>
      </c>
    </row>
    <row r="192" spans="2:12" ht="18">
      <c r="B192" s="85"/>
      <c r="C192" s="126"/>
      <c r="D192" s="90"/>
      <c r="E192" s="129" t="s">
        <v>554</v>
      </c>
      <c r="F192" s="88"/>
      <c r="G192" s="88"/>
      <c r="H192" s="88">
        <v>0.07</v>
      </c>
      <c r="I192" s="88">
        <v>7.65</v>
      </c>
      <c r="J192" s="88">
        <f t="shared" si="4"/>
        <v>0.5355000000000001</v>
      </c>
      <c r="K192" s="88"/>
      <c r="L192" s="89">
        <f t="shared" si="5"/>
        <v>0.5355000000000001</v>
      </c>
    </row>
    <row r="193" spans="2:12" ht="18">
      <c r="B193" s="85"/>
      <c r="C193" s="126"/>
      <c r="D193" s="90"/>
      <c r="E193" s="129" t="s">
        <v>553</v>
      </c>
      <c r="F193" s="88"/>
      <c r="G193" s="88"/>
      <c r="H193" s="88">
        <v>0.07</v>
      </c>
      <c r="I193" s="88">
        <v>8.55</v>
      </c>
      <c r="J193" s="88">
        <f t="shared" si="4"/>
        <v>0.5985000000000001</v>
      </c>
      <c r="K193" s="88"/>
      <c r="L193" s="89">
        <f t="shared" si="5"/>
        <v>0.5985000000000001</v>
      </c>
    </row>
    <row r="194" spans="2:12" ht="18">
      <c r="B194" s="85"/>
      <c r="C194" s="126"/>
      <c r="D194" s="90"/>
      <c r="E194" s="129" t="s">
        <v>552</v>
      </c>
      <c r="F194" s="88"/>
      <c r="G194" s="88"/>
      <c r="H194" s="88">
        <v>0.07</v>
      </c>
      <c r="I194" s="88">
        <v>9.9</v>
      </c>
      <c r="J194" s="88">
        <f t="shared" si="4"/>
        <v>0.6930000000000001</v>
      </c>
      <c r="K194" s="88"/>
      <c r="L194" s="89">
        <f t="shared" si="5"/>
        <v>0.6930000000000001</v>
      </c>
    </row>
    <row r="195" spans="2:12" ht="18">
      <c r="B195" s="85"/>
      <c r="C195" s="126"/>
      <c r="D195" s="90"/>
      <c r="E195" s="129" t="s">
        <v>549</v>
      </c>
      <c r="F195" s="88"/>
      <c r="G195" s="88"/>
      <c r="H195" s="88">
        <v>0.07</v>
      </c>
      <c r="I195" s="88">
        <v>9.72</v>
      </c>
      <c r="J195" s="88">
        <f t="shared" si="4"/>
        <v>0.6804000000000001</v>
      </c>
      <c r="K195" s="88"/>
      <c r="L195" s="89">
        <f t="shared" si="5"/>
        <v>0.6804000000000001</v>
      </c>
    </row>
    <row r="196" spans="2:12" ht="18">
      <c r="B196" s="91"/>
      <c r="C196" s="113"/>
      <c r="D196" s="96"/>
      <c r="E196" s="380"/>
      <c r="F196" s="95"/>
      <c r="G196" s="95"/>
      <c r="H196" s="95"/>
      <c r="I196" s="95"/>
      <c r="J196" s="95"/>
      <c r="K196" s="95"/>
      <c r="L196" s="97">
        <f>SUM(L165:L195)</f>
        <v>22.130500000000005</v>
      </c>
    </row>
    <row r="197" spans="2:12" ht="54">
      <c r="B197" s="290" t="str">
        <f>Orçamento!B199</f>
        <v>13.2</v>
      </c>
      <c r="C197" s="109" t="str">
        <f>Orçamento!C199</f>
        <v>Regularizacao de piso/base em argamassa traco 1:3 (cimento e areia), espessura 2,0cm, preparo manual</v>
      </c>
      <c r="D197" s="82" t="s">
        <v>38</v>
      </c>
      <c r="E197" s="414"/>
      <c r="F197" s="83"/>
      <c r="G197" s="83"/>
      <c r="H197" s="83"/>
      <c r="I197" s="83"/>
      <c r="J197" s="83"/>
      <c r="K197" s="83"/>
      <c r="L197" s="84"/>
    </row>
    <row r="198" spans="2:12" ht="18">
      <c r="B198" s="85"/>
      <c r="C198" s="126"/>
      <c r="D198" s="90"/>
      <c r="E198" s="595" t="s">
        <v>61</v>
      </c>
      <c r="F198" s="88"/>
      <c r="G198" s="88"/>
      <c r="H198" s="88"/>
      <c r="I198" s="88"/>
      <c r="J198" s="88"/>
      <c r="K198" s="88"/>
      <c r="L198" s="99"/>
    </row>
    <row r="199" spans="2:12" ht="18">
      <c r="B199" s="85"/>
      <c r="C199" s="126"/>
      <c r="D199" s="90"/>
      <c r="E199" s="129" t="s">
        <v>733</v>
      </c>
      <c r="F199" s="88"/>
      <c r="G199" s="88"/>
      <c r="H199" s="88"/>
      <c r="I199" s="88">
        <v>7.12</v>
      </c>
      <c r="J199" s="88"/>
      <c r="K199" s="88"/>
      <c r="L199" s="89">
        <f>I199</f>
        <v>7.12</v>
      </c>
    </row>
    <row r="200" spans="2:12" ht="18">
      <c r="B200" s="85"/>
      <c r="C200" s="126"/>
      <c r="D200" s="90"/>
      <c r="E200" s="98" t="s">
        <v>546</v>
      </c>
      <c r="F200" s="88"/>
      <c r="G200" s="88"/>
      <c r="H200" s="88"/>
      <c r="I200" s="88">
        <f>11.08+31.19+29.93</f>
        <v>72.2</v>
      </c>
      <c r="J200" s="88"/>
      <c r="K200" s="88"/>
      <c r="L200" s="89">
        <f aca="true" t="shared" si="6" ref="L200:L229">I200</f>
        <v>72.2</v>
      </c>
    </row>
    <row r="201" spans="2:12" ht="18">
      <c r="B201" s="85"/>
      <c r="C201" s="126"/>
      <c r="D201" s="90"/>
      <c r="E201" s="98" t="s">
        <v>534</v>
      </c>
      <c r="F201" s="88"/>
      <c r="G201" s="88"/>
      <c r="H201" s="88"/>
      <c r="I201" s="88">
        <v>18.73</v>
      </c>
      <c r="J201" s="88"/>
      <c r="K201" s="88"/>
      <c r="L201" s="89">
        <f t="shared" si="6"/>
        <v>18.73</v>
      </c>
    </row>
    <row r="202" spans="2:12" ht="18">
      <c r="B202" s="85"/>
      <c r="C202" s="126"/>
      <c r="D202" s="90"/>
      <c r="E202" s="102" t="s">
        <v>91</v>
      </c>
      <c r="F202" s="88"/>
      <c r="G202" s="88"/>
      <c r="H202" s="88"/>
      <c r="I202" s="143">
        <v>4.78</v>
      </c>
      <c r="J202" s="88"/>
      <c r="K202" s="88"/>
      <c r="L202" s="89">
        <f t="shared" si="6"/>
        <v>4.78</v>
      </c>
    </row>
    <row r="203" spans="2:12" ht="18">
      <c r="B203" s="85"/>
      <c r="C203" s="126"/>
      <c r="D203" s="90"/>
      <c r="E203" s="98" t="s">
        <v>556</v>
      </c>
      <c r="F203" s="88"/>
      <c r="G203" s="88"/>
      <c r="H203" s="88"/>
      <c r="I203" s="143">
        <f>5.95+2.75</f>
        <v>8.7</v>
      </c>
      <c r="J203" s="88"/>
      <c r="K203" s="88"/>
      <c r="L203" s="89">
        <f t="shared" si="6"/>
        <v>8.7</v>
      </c>
    </row>
    <row r="204" spans="2:12" ht="18">
      <c r="B204" s="85"/>
      <c r="C204" s="126"/>
      <c r="D204" s="90"/>
      <c r="E204" s="98" t="s">
        <v>547</v>
      </c>
      <c r="F204" s="88"/>
      <c r="G204" s="88"/>
      <c r="H204" s="88"/>
      <c r="I204" s="88">
        <v>14.73</v>
      </c>
      <c r="J204" s="88"/>
      <c r="K204" s="88"/>
      <c r="L204" s="89">
        <f t="shared" si="6"/>
        <v>14.73</v>
      </c>
    </row>
    <row r="205" spans="2:12" ht="18">
      <c r="B205" s="85"/>
      <c r="C205" s="126"/>
      <c r="D205" s="90"/>
      <c r="E205" s="98" t="s">
        <v>535</v>
      </c>
      <c r="F205" s="88"/>
      <c r="G205" s="88"/>
      <c r="H205" s="88"/>
      <c r="I205" s="88">
        <v>4.8</v>
      </c>
      <c r="J205" s="88"/>
      <c r="K205" s="88"/>
      <c r="L205" s="89">
        <f t="shared" si="6"/>
        <v>4.8</v>
      </c>
    </row>
    <row r="206" spans="2:12" ht="18">
      <c r="B206" s="85"/>
      <c r="C206" s="126"/>
      <c r="D206" s="90"/>
      <c r="E206" s="98" t="s">
        <v>536</v>
      </c>
      <c r="F206" s="88"/>
      <c r="G206" s="88"/>
      <c r="H206" s="88"/>
      <c r="I206" s="88">
        <v>4.8</v>
      </c>
      <c r="J206" s="88"/>
      <c r="K206" s="88"/>
      <c r="L206" s="89">
        <f t="shared" si="6"/>
        <v>4.8</v>
      </c>
    </row>
    <row r="207" spans="2:12" ht="18">
      <c r="B207" s="85"/>
      <c r="C207" s="126"/>
      <c r="D207" s="90"/>
      <c r="E207" s="98" t="s">
        <v>537</v>
      </c>
      <c r="F207" s="88"/>
      <c r="G207" s="88"/>
      <c r="H207" s="88"/>
      <c r="I207" s="88">
        <v>19.3</v>
      </c>
      <c r="J207" s="88"/>
      <c r="K207" s="88"/>
      <c r="L207" s="89">
        <f t="shared" si="6"/>
        <v>19.3</v>
      </c>
    </row>
    <row r="208" spans="2:12" ht="18">
      <c r="B208" s="85"/>
      <c r="C208" s="126"/>
      <c r="D208" s="90"/>
      <c r="E208" s="98" t="s">
        <v>60</v>
      </c>
      <c r="F208" s="88"/>
      <c r="G208" s="88"/>
      <c r="H208" s="88"/>
      <c r="I208" s="88">
        <v>6.23</v>
      </c>
      <c r="J208" s="88"/>
      <c r="K208" s="88"/>
      <c r="L208" s="89">
        <f t="shared" si="6"/>
        <v>6.23</v>
      </c>
    </row>
    <row r="209" spans="2:12" ht="18">
      <c r="B209" s="85"/>
      <c r="C209" s="126"/>
      <c r="D209" s="90"/>
      <c r="E209" s="98" t="s">
        <v>90</v>
      </c>
      <c r="F209" s="88"/>
      <c r="G209" s="88"/>
      <c r="H209" s="88"/>
      <c r="I209" s="88">
        <v>11.97</v>
      </c>
      <c r="J209" s="88"/>
      <c r="K209" s="88"/>
      <c r="L209" s="89">
        <f t="shared" si="6"/>
        <v>11.97</v>
      </c>
    </row>
    <row r="210" spans="2:12" ht="18">
      <c r="B210" s="85"/>
      <c r="C210" s="126"/>
      <c r="D210" s="90"/>
      <c r="E210" s="98" t="s">
        <v>89</v>
      </c>
      <c r="F210" s="88"/>
      <c r="G210" s="88"/>
      <c r="H210" s="88"/>
      <c r="I210" s="88">
        <v>2.63</v>
      </c>
      <c r="J210" s="88"/>
      <c r="K210" s="88"/>
      <c r="L210" s="89">
        <f t="shared" si="6"/>
        <v>2.63</v>
      </c>
    </row>
    <row r="211" spans="2:12" ht="18">
      <c r="B211" s="85"/>
      <c r="C211" s="126"/>
      <c r="D211" s="90"/>
      <c r="E211" s="98" t="s">
        <v>538</v>
      </c>
      <c r="F211" s="88"/>
      <c r="G211" s="88"/>
      <c r="H211" s="88"/>
      <c r="I211" s="88">
        <v>5.26</v>
      </c>
      <c r="J211" s="88"/>
      <c r="K211" s="88"/>
      <c r="L211" s="89">
        <f t="shared" si="6"/>
        <v>5.26</v>
      </c>
    </row>
    <row r="212" spans="2:12" ht="18">
      <c r="B212" s="85"/>
      <c r="C212" s="126"/>
      <c r="D212" s="90"/>
      <c r="E212" s="190" t="s">
        <v>539</v>
      </c>
      <c r="F212" s="88"/>
      <c r="G212" s="88"/>
      <c r="H212" s="88"/>
      <c r="I212" s="88">
        <v>14.7</v>
      </c>
      <c r="J212" s="88"/>
      <c r="K212" s="88"/>
      <c r="L212" s="89">
        <f t="shared" si="6"/>
        <v>14.7</v>
      </c>
    </row>
    <row r="213" spans="2:12" ht="18">
      <c r="B213" s="85"/>
      <c r="C213" s="126"/>
      <c r="D213" s="90"/>
      <c r="E213" s="98" t="s">
        <v>540</v>
      </c>
      <c r="F213" s="88"/>
      <c r="G213" s="88"/>
      <c r="H213" s="88"/>
      <c r="I213" s="88">
        <v>14.7</v>
      </c>
      <c r="J213" s="88"/>
      <c r="K213" s="88"/>
      <c r="L213" s="89">
        <f t="shared" si="6"/>
        <v>14.7</v>
      </c>
    </row>
    <row r="214" spans="2:12" ht="18">
      <c r="B214" s="85"/>
      <c r="C214" s="126"/>
      <c r="D214" s="90"/>
      <c r="E214" s="98" t="s">
        <v>541</v>
      </c>
      <c r="F214" s="88"/>
      <c r="G214" s="88"/>
      <c r="H214" s="88"/>
      <c r="I214" s="88">
        <v>4.92</v>
      </c>
      <c r="J214" s="88"/>
      <c r="K214" s="88"/>
      <c r="L214" s="89">
        <f t="shared" si="6"/>
        <v>4.92</v>
      </c>
    </row>
    <row r="215" spans="2:12" ht="18">
      <c r="B215" s="85"/>
      <c r="C215" s="126"/>
      <c r="D215" s="90"/>
      <c r="E215" s="98" t="s">
        <v>542</v>
      </c>
      <c r="F215" s="88"/>
      <c r="G215" s="88"/>
      <c r="H215" s="88"/>
      <c r="I215" s="88">
        <v>4.8</v>
      </c>
      <c r="J215" s="88"/>
      <c r="K215" s="88"/>
      <c r="L215" s="89">
        <f t="shared" si="6"/>
        <v>4.8</v>
      </c>
    </row>
    <row r="216" spans="2:12" ht="18">
      <c r="B216" s="85"/>
      <c r="C216" s="126"/>
      <c r="D216" s="90"/>
      <c r="E216" s="98" t="s">
        <v>543</v>
      </c>
      <c r="F216" s="88"/>
      <c r="G216" s="88"/>
      <c r="H216" s="88"/>
      <c r="I216" s="88">
        <v>14.91</v>
      </c>
      <c r="J216" s="88"/>
      <c r="K216" s="88"/>
      <c r="L216" s="89">
        <f t="shared" si="6"/>
        <v>14.91</v>
      </c>
    </row>
    <row r="217" spans="2:12" ht="18">
      <c r="B217" s="85"/>
      <c r="C217" s="126"/>
      <c r="D217" s="90"/>
      <c r="E217" s="98" t="s">
        <v>92</v>
      </c>
      <c r="F217" s="88"/>
      <c r="G217" s="88"/>
      <c r="H217" s="88"/>
      <c r="I217" s="88">
        <v>11.34</v>
      </c>
      <c r="J217" s="88"/>
      <c r="K217" s="88"/>
      <c r="L217" s="89">
        <f t="shared" si="6"/>
        <v>11.34</v>
      </c>
    </row>
    <row r="218" spans="2:12" ht="18">
      <c r="B218" s="85"/>
      <c r="C218" s="126"/>
      <c r="D218" s="90"/>
      <c r="E218" s="98" t="s">
        <v>544</v>
      </c>
      <c r="F218" s="88"/>
      <c r="G218" s="88"/>
      <c r="H218" s="88"/>
      <c r="I218" s="88">
        <v>3.79</v>
      </c>
      <c r="J218" s="88"/>
      <c r="K218" s="88"/>
      <c r="L218" s="89">
        <f t="shared" si="6"/>
        <v>3.79</v>
      </c>
    </row>
    <row r="219" spans="2:12" ht="18">
      <c r="B219" s="85"/>
      <c r="C219" s="126"/>
      <c r="D219" s="90"/>
      <c r="E219" s="98" t="s">
        <v>545</v>
      </c>
      <c r="F219" s="88"/>
      <c r="G219" s="88"/>
      <c r="H219" s="88"/>
      <c r="I219" s="88">
        <v>2.65</v>
      </c>
      <c r="J219" s="88"/>
      <c r="K219" s="88"/>
      <c r="L219" s="89">
        <f t="shared" si="6"/>
        <v>2.65</v>
      </c>
    </row>
    <row r="220" spans="2:12" ht="18">
      <c r="B220" s="85"/>
      <c r="C220" s="126"/>
      <c r="D220" s="90"/>
      <c r="E220" s="98" t="s">
        <v>545</v>
      </c>
      <c r="F220" s="88"/>
      <c r="G220" s="88"/>
      <c r="H220" s="88"/>
      <c r="I220" s="88">
        <v>2.53</v>
      </c>
      <c r="J220" s="88"/>
      <c r="K220" s="88"/>
      <c r="L220" s="89">
        <f t="shared" si="6"/>
        <v>2.53</v>
      </c>
    </row>
    <row r="221" spans="2:12" ht="18">
      <c r="B221" s="85"/>
      <c r="C221" s="126"/>
      <c r="D221" s="90"/>
      <c r="E221" s="98" t="s">
        <v>82</v>
      </c>
      <c r="F221" s="88"/>
      <c r="G221" s="88"/>
      <c r="H221" s="88"/>
      <c r="I221" s="88">
        <v>4.7</v>
      </c>
      <c r="J221" s="88"/>
      <c r="K221" s="88"/>
      <c r="L221" s="89">
        <f t="shared" si="6"/>
        <v>4.7</v>
      </c>
    </row>
    <row r="222" spans="2:12" ht="18">
      <c r="B222" s="85"/>
      <c r="C222" s="126"/>
      <c r="D222" s="90"/>
      <c r="E222" s="129"/>
      <c r="F222" s="88"/>
      <c r="G222" s="88"/>
      <c r="H222" s="88"/>
      <c r="I222" s="88"/>
      <c r="J222" s="88"/>
      <c r="K222" s="88"/>
      <c r="L222" s="89"/>
    </row>
    <row r="223" spans="2:12" ht="18">
      <c r="B223" s="85"/>
      <c r="C223" s="126"/>
      <c r="D223" s="90"/>
      <c r="E223" s="595" t="s">
        <v>62</v>
      </c>
      <c r="F223" s="88"/>
      <c r="G223" s="88"/>
      <c r="H223" s="88"/>
      <c r="I223" s="88"/>
      <c r="J223" s="88"/>
      <c r="K223" s="88"/>
      <c r="L223" s="89"/>
    </row>
    <row r="224" spans="2:12" ht="18">
      <c r="B224" s="85"/>
      <c r="C224" s="126"/>
      <c r="D224" s="90"/>
      <c r="E224" s="129" t="s">
        <v>551</v>
      </c>
      <c r="F224" s="88"/>
      <c r="G224" s="88"/>
      <c r="H224" s="88"/>
      <c r="I224" s="88">
        <v>8.28</v>
      </c>
      <c r="J224" s="88"/>
      <c r="K224" s="88"/>
      <c r="L224" s="89">
        <f t="shared" si="6"/>
        <v>8.28</v>
      </c>
    </row>
    <row r="225" spans="2:12" ht="18">
      <c r="B225" s="85"/>
      <c r="C225" s="126"/>
      <c r="D225" s="90"/>
      <c r="E225" s="129" t="s">
        <v>550</v>
      </c>
      <c r="F225" s="88"/>
      <c r="G225" s="88"/>
      <c r="H225" s="88"/>
      <c r="I225" s="88">
        <v>11.76</v>
      </c>
      <c r="J225" s="88"/>
      <c r="K225" s="88"/>
      <c r="L225" s="89">
        <f t="shared" si="6"/>
        <v>11.76</v>
      </c>
    </row>
    <row r="226" spans="2:12" ht="18">
      <c r="B226" s="85"/>
      <c r="C226" s="126"/>
      <c r="D226" s="90"/>
      <c r="E226" s="129" t="s">
        <v>554</v>
      </c>
      <c r="F226" s="88"/>
      <c r="G226" s="88"/>
      <c r="H226" s="88"/>
      <c r="I226" s="88">
        <v>7.65</v>
      </c>
      <c r="J226" s="88"/>
      <c r="K226" s="88"/>
      <c r="L226" s="89">
        <f t="shared" si="6"/>
        <v>7.65</v>
      </c>
    </row>
    <row r="227" spans="2:12" ht="18">
      <c r="B227" s="85"/>
      <c r="C227" s="126"/>
      <c r="D227" s="90"/>
      <c r="E227" s="129" t="s">
        <v>553</v>
      </c>
      <c r="F227" s="88"/>
      <c r="G227" s="88"/>
      <c r="H227" s="88"/>
      <c r="I227" s="88">
        <v>8.55</v>
      </c>
      <c r="J227" s="88"/>
      <c r="K227" s="88"/>
      <c r="L227" s="89">
        <f t="shared" si="6"/>
        <v>8.55</v>
      </c>
    </row>
    <row r="228" spans="2:12" ht="18">
      <c r="B228" s="85"/>
      <c r="C228" s="126"/>
      <c r="D228" s="90"/>
      <c r="E228" s="129" t="s">
        <v>552</v>
      </c>
      <c r="F228" s="88"/>
      <c r="G228" s="88"/>
      <c r="H228" s="88"/>
      <c r="I228" s="88">
        <v>9.9</v>
      </c>
      <c r="J228" s="88"/>
      <c r="K228" s="88"/>
      <c r="L228" s="89">
        <f t="shared" si="6"/>
        <v>9.9</v>
      </c>
    </row>
    <row r="229" spans="2:12" ht="18">
      <c r="B229" s="85"/>
      <c r="C229" s="126"/>
      <c r="D229" s="90"/>
      <c r="E229" s="129" t="s">
        <v>549</v>
      </c>
      <c r="F229" s="88"/>
      <c r="G229" s="88"/>
      <c r="H229" s="88"/>
      <c r="I229" s="88">
        <v>9.72</v>
      </c>
      <c r="J229" s="88"/>
      <c r="K229" s="88"/>
      <c r="L229" s="89">
        <f t="shared" si="6"/>
        <v>9.72</v>
      </c>
    </row>
    <row r="230" spans="2:12" ht="18">
      <c r="B230" s="91"/>
      <c r="C230" s="113"/>
      <c r="D230" s="96"/>
      <c r="E230" s="380"/>
      <c r="F230" s="95"/>
      <c r="G230" s="95"/>
      <c r="H230" s="95"/>
      <c r="I230" s="95"/>
      <c r="J230" s="95"/>
      <c r="K230" s="95"/>
      <c r="L230" s="97">
        <f>SUM(L199:L229)</f>
        <v>316.15</v>
      </c>
    </row>
    <row r="231" spans="2:12" ht="54">
      <c r="B231" s="108" t="str">
        <f>Orçamento!B200</f>
        <v>13.3</v>
      </c>
      <c r="C231" s="109" t="str">
        <f>Orçamento!C200</f>
        <v>Revestimento porcelanato retificado, aplicado com argamassa industrializada, rejuntado c/epoxi, junta máxima de 2mm</v>
      </c>
      <c r="D231" s="82" t="s">
        <v>38</v>
      </c>
      <c r="E231" s="414"/>
      <c r="F231" s="83"/>
      <c r="G231" s="83"/>
      <c r="H231" s="83"/>
      <c r="I231" s="83"/>
      <c r="J231" s="83"/>
      <c r="K231" s="83"/>
      <c r="L231" s="84"/>
    </row>
    <row r="232" spans="2:12" ht="18">
      <c r="B232" s="85"/>
      <c r="C232" s="126"/>
      <c r="D232" s="90"/>
      <c r="E232" s="595" t="s">
        <v>61</v>
      </c>
      <c r="F232" s="88"/>
      <c r="G232" s="88"/>
      <c r="H232" s="88"/>
      <c r="I232" s="88"/>
      <c r="J232" s="88"/>
      <c r="K232" s="88"/>
      <c r="L232" s="99"/>
    </row>
    <row r="233" spans="2:12" ht="18">
      <c r="B233" s="85"/>
      <c r="C233" s="126"/>
      <c r="D233" s="90"/>
      <c r="E233" s="129" t="s">
        <v>733</v>
      </c>
      <c r="F233" s="88"/>
      <c r="G233" s="88"/>
      <c r="H233" s="88"/>
      <c r="I233" s="88">
        <v>7.12</v>
      </c>
      <c r="J233" s="88"/>
      <c r="K233" s="88"/>
      <c r="L233" s="89">
        <f>I233</f>
        <v>7.12</v>
      </c>
    </row>
    <row r="234" spans="2:12" ht="18">
      <c r="B234" s="85"/>
      <c r="C234" s="126"/>
      <c r="D234" s="90"/>
      <c r="E234" s="98" t="s">
        <v>546</v>
      </c>
      <c r="F234" s="88"/>
      <c r="G234" s="88"/>
      <c r="H234" s="88"/>
      <c r="I234" s="88">
        <f>11.08+31.19+29.93</f>
        <v>72.2</v>
      </c>
      <c r="J234" s="88"/>
      <c r="K234" s="88"/>
      <c r="L234" s="89">
        <f aca="true" t="shared" si="7" ref="L234:L255">I234</f>
        <v>72.2</v>
      </c>
    </row>
    <row r="235" spans="2:12" ht="18">
      <c r="B235" s="85"/>
      <c r="C235" s="126"/>
      <c r="D235" s="90"/>
      <c r="E235" s="98" t="s">
        <v>534</v>
      </c>
      <c r="F235" s="88"/>
      <c r="G235" s="88"/>
      <c r="H235" s="88"/>
      <c r="I235" s="88">
        <v>18.73</v>
      </c>
      <c r="J235" s="88"/>
      <c r="K235" s="88"/>
      <c r="L235" s="89">
        <f t="shared" si="7"/>
        <v>18.73</v>
      </c>
    </row>
    <row r="236" spans="2:12" ht="18">
      <c r="B236" s="85"/>
      <c r="C236" s="126"/>
      <c r="D236" s="90"/>
      <c r="E236" s="102" t="s">
        <v>91</v>
      </c>
      <c r="F236" s="88"/>
      <c r="G236" s="88"/>
      <c r="H236" s="88"/>
      <c r="I236" s="143">
        <v>4.78</v>
      </c>
      <c r="J236" s="88"/>
      <c r="K236" s="88"/>
      <c r="L236" s="89">
        <f t="shared" si="7"/>
        <v>4.78</v>
      </c>
    </row>
    <row r="237" spans="2:12" ht="18">
      <c r="B237" s="85"/>
      <c r="C237" s="126"/>
      <c r="D237" s="90"/>
      <c r="E237" s="98" t="s">
        <v>556</v>
      </c>
      <c r="F237" s="88"/>
      <c r="G237" s="88"/>
      <c r="H237" s="88"/>
      <c r="I237" s="143">
        <f>5.95+2.75</f>
        <v>8.7</v>
      </c>
      <c r="J237" s="88"/>
      <c r="K237" s="88"/>
      <c r="L237" s="89">
        <f t="shared" si="7"/>
        <v>8.7</v>
      </c>
    </row>
    <row r="238" spans="2:12" ht="18">
      <c r="B238" s="85"/>
      <c r="C238" s="126"/>
      <c r="D238" s="90"/>
      <c r="E238" s="98" t="s">
        <v>547</v>
      </c>
      <c r="F238" s="88"/>
      <c r="G238" s="88"/>
      <c r="H238" s="88"/>
      <c r="I238" s="88">
        <v>14.73</v>
      </c>
      <c r="J238" s="88"/>
      <c r="K238" s="88"/>
      <c r="L238" s="89">
        <f t="shared" si="7"/>
        <v>14.73</v>
      </c>
    </row>
    <row r="239" spans="2:12" ht="18">
      <c r="B239" s="85"/>
      <c r="C239" s="126"/>
      <c r="D239" s="90"/>
      <c r="E239" s="98" t="s">
        <v>535</v>
      </c>
      <c r="F239" s="88"/>
      <c r="G239" s="88"/>
      <c r="H239" s="88"/>
      <c r="I239" s="88">
        <v>4.8</v>
      </c>
      <c r="J239" s="88"/>
      <c r="K239" s="88"/>
      <c r="L239" s="89">
        <f t="shared" si="7"/>
        <v>4.8</v>
      </c>
    </row>
    <row r="240" spans="2:12" ht="18">
      <c r="B240" s="85"/>
      <c r="C240" s="126"/>
      <c r="D240" s="90"/>
      <c r="E240" s="98" t="s">
        <v>536</v>
      </c>
      <c r="F240" s="88"/>
      <c r="G240" s="88"/>
      <c r="H240" s="88"/>
      <c r="I240" s="88">
        <v>4.8</v>
      </c>
      <c r="J240" s="88"/>
      <c r="K240" s="88"/>
      <c r="L240" s="89">
        <f t="shared" si="7"/>
        <v>4.8</v>
      </c>
    </row>
    <row r="241" spans="2:12" ht="18">
      <c r="B241" s="85"/>
      <c r="C241" s="126"/>
      <c r="D241" s="90"/>
      <c r="E241" s="98" t="s">
        <v>537</v>
      </c>
      <c r="F241" s="88"/>
      <c r="G241" s="88"/>
      <c r="H241" s="88"/>
      <c r="I241" s="88">
        <v>19.3</v>
      </c>
      <c r="J241" s="88"/>
      <c r="K241" s="88"/>
      <c r="L241" s="89">
        <f t="shared" si="7"/>
        <v>19.3</v>
      </c>
    </row>
    <row r="242" spans="2:12" ht="18">
      <c r="B242" s="85"/>
      <c r="C242" s="126"/>
      <c r="D242" s="90"/>
      <c r="E242" s="98" t="s">
        <v>60</v>
      </c>
      <c r="F242" s="88"/>
      <c r="G242" s="88"/>
      <c r="H242" s="88"/>
      <c r="I242" s="88">
        <v>6.23</v>
      </c>
      <c r="J242" s="88"/>
      <c r="K242" s="88"/>
      <c r="L242" s="89">
        <f t="shared" si="7"/>
        <v>6.23</v>
      </c>
    </row>
    <row r="243" spans="2:12" ht="18">
      <c r="B243" s="85"/>
      <c r="C243" s="126"/>
      <c r="D243" s="90"/>
      <c r="E243" s="98" t="s">
        <v>90</v>
      </c>
      <c r="F243" s="88"/>
      <c r="G243" s="88"/>
      <c r="H243" s="88"/>
      <c r="I243" s="88">
        <v>11.97</v>
      </c>
      <c r="J243" s="88"/>
      <c r="K243" s="88"/>
      <c r="L243" s="89">
        <f t="shared" si="7"/>
        <v>11.97</v>
      </c>
    </row>
    <row r="244" spans="2:12" ht="18">
      <c r="B244" s="85"/>
      <c r="C244" s="126"/>
      <c r="D244" s="90"/>
      <c r="E244" s="98" t="s">
        <v>89</v>
      </c>
      <c r="F244" s="88"/>
      <c r="G244" s="88"/>
      <c r="H244" s="88"/>
      <c r="I244" s="88">
        <v>2.63</v>
      </c>
      <c r="J244" s="88"/>
      <c r="K244" s="88"/>
      <c r="L244" s="89">
        <f t="shared" si="7"/>
        <v>2.63</v>
      </c>
    </row>
    <row r="245" spans="2:12" ht="18">
      <c r="B245" s="85"/>
      <c r="C245" s="126"/>
      <c r="D245" s="90"/>
      <c r="E245" s="98" t="s">
        <v>538</v>
      </c>
      <c r="F245" s="88"/>
      <c r="G245" s="88"/>
      <c r="H245" s="88"/>
      <c r="I245" s="88">
        <v>5.26</v>
      </c>
      <c r="J245" s="88"/>
      <c r="K245" s="88"/>
      <c r="L245" s="89">
        <f t="shared" si="7"/>
        <v>5.26</v>
      </c>
    </row>
    <row r="246" spans="2:12" ht="18">
      <c r="B246" s="85"/>
      <c r="C246" s="126"/>
      <c r="D246" s="90"/>
      <c r="E246" s="190" t="s">
        <v>539</v>
      </c>
      <c r="F246" s="88"/>
      <c r="G246" s="88"/>
      <c r="H246" s="88"/>
      <c r="I246" s="88">
        <v>14.7</v>
      </c>
      <c r="J246" s="88"/>
      <c r="K246" s="88"/>
      <c r="L246" s="89">
        <f t="shared" si="7"/>
        <v>14.7</v>
      </c>
    </row>
    <row r="247" spans="2:12" ht="18">
      <c r="B247" s="85"/>
      <c r="C247" s="126"/>
      <c r="D247" s="90"/>
      <c r="E247" s="98" t="s">
        <v>540</v>
      </c>
      <c r="F247" s="88"/>
      <c r="G247" s="88"/>
      <c r="H247" s="88"/>
      <c r="I247" s="88">
        <v>14.7</v>
      </c>
      <c r="J247" s="88"/>
      <c r="K247" s="88"/>
      <c r="L247" s="89">
        <f t="shared" si="7"/>
        <v>14.7</v>
      </c>
    </row>
    <row r="248" spans="2:12" ht="18">
      <c r="B248" s="85"/>
      <c r="C248" s="126"/>
      <c r="D248" s="90"/>
      <c r="E248" s="98" t="s">
        <v>541</v>
      </c>
      <c r="F248" s="88"/>
      <c r="G248" s="88"/>
      <c r="H248" s="88"/>
      <c r="I248" s="88">
        <v>4.92</v>
      </c>
      <c r="J248" s="88"/>
      <c r="K248" s="88"/>
      <c r="L248" s="89">
        <f t="shared" si="7"/>
        <v>4.92</v>
      </c>
    </row>
    <row r="249" spans="2:12" ht="18">
      <c r="B249" s="85"/>
      <c r="C249" s="126"/>
      <c r="D249" s="90"/>
      <c r="E249" s="98" t="s">
        <v>542</v>
      </c>
      <c r="F249" s="88"/>
      <c r="G249" s="88"/>
      <c r="H249" s="88"/>
      <c r="I249" s="88">
        <v>4.8</v>
      </c>
      <c r="J249" s="88"/>
      <c r="K249" s="88"/>
      <c r="L249" s="89">
        <f t="shared" si="7"/>
        <v>4.8</v>
      </c>
    </row>
    <row r="250" spans="2:12" ht="18">
      <c r="B250" s="85"/>
      <c r="C250" s="126"/>
      <c r="D250" s="90"/>
      <c r="E250" s="98" t="s">
        <v>543</v>
      </c>
      <c r="F250" s="88"/>
      <c r="G250" s="88"/>
      <c r="H250" s="88"/>
      <c r="I250" s="88">
        <v>14.91</v>
      </c>
      <c r="J250" s="88"/>
      <c r="K250" s="88"/>
      <c r="L250" s="89">
        <f t="shared" si="7"/>
        <v>14.91</v>
      </c>
    </row>
    <row r="251" spans="2:12" ht="18">
      <c r="B251" s="85"/>
      <c r="C251" s="126"/>
      <c r="D251" s="90"/>
      <c r="E251" s="98" t="s">
        <v>92</v>
      </c>
      <c r="F251" s="88"/>
      <c r="G251" s="88"/>
      <c r="H251" s="88"/>
      <c r="I251" s="88">
        <v>11.34</v>
      </c>
      <c r="J251" s="88"/>
      <c r="K251" s="88"/>
      <c r="L251" s="89">
        <f t="shared" si="7"/>
        <v>11.34</v>
      </c>
    </row>
    <row r="252" spans="2:12" ht="18">
      <c r="B252" s="85"/>
      <c r="C252" s="126"/>
      <c r="D252" s="90"/>
      <c r="E252" s="98" t="s">
        <v>544</v>
      </c>
      <c r="F252" s="88"/>
      <c r="G252" s="88"/>
      <c r="H252" s="88"/>
      <c r="I252" s="88">
        <v>3.79</v>
      </c>
      <c r="J252" s="88"/>
      <c r="K252" s="88"/>
      <c r="L252" s="89">
        <f t="shared" si="7"/>
        <v>3.79</v>
      </c>
    </row>
    <row r="253" spans="2:12" ht="18">
      <c r="B253" s="85"/>
      <c r="C253" s="126"/>
      <c r="D253" s="90"/>
      <c r="E253" s="98" t="s">
        <v>545</v>
      </c>
      <c r="F253" s="88"/>
      <c r="G253" s="88"/>
      <c r="H253" s="88"/>
      <c r="I253" s="88">
        <v>2.65</v>
      </c>
      <c r="J253" s="88"/>
      <c r="K253" s="88"/>
      <c r="L253" s="89">
        <f t="shared" si="7"/>
        <v>2.65</v>
      </c>
    </row>
    <row r="254" spans="2:12" ht="18">
      <c r="B254" s="85"/>
      <c r="C254" s="126"/>
      <c r="D254" s="90"/>
      <c r="E254" s="98" t="s">
        <v>545</v>
      </c>
      <c r="F254" s="88"/>
      <c r="G254" s="88"/>
      <c r="H254" s="88"/>
      <c r="I254" s="88">
        <v>2.53</v>
      </c>
      <c r="J254" s="88"/>
      <c r="K254" s="88"/>
      <c r="L254" s="89">
        <f t="shared" si="7"/>
        <v>2.53</v>
      </c>
    </row>
    <row r="255" spans="2:12" ht="18">
      <c r="B255" s="85"/>
      <c r="C255" s="126"/>
      <c r="D255" s="90"/>
      <c r="E255" s="98" t="s">
        <v>82</v>
      </c>
      <c r="F255" s="88"/>
      <c r="G255" s="88"/>
      <c r="H255" s="88"/>
      <c r="I255" s="88">
        <v>4.7</v>
      </c>
      <c r="J255" s="88"/>
      <c r="K255" s="88"/>
      <c r="L255" s="89">
        <f t="shared" si="7"/>
        <v>4.7</v>
      </c>
    </row>
    <row r="256" spans="2:12" ht="18">
      <c r="B256" s="85"/>
      <c r="C256" s="126"/>
      <c r="D256" s="90"/>
      <c r="E256" s="129"/>
      <c r="F256" s="88"/>
      <c r="G256" s="88"/>
      <c r="H256" s="88"/>
      <c r="I256" s="88"/>
      <c r="J256" s="88"/>
      <c r="K256" s="88"/>
      <c r="L256" s="89"/>
    </row>
    <row r="257" spans="2:12" ht="18">
      <c r="B257" s="85"/>
      <c r="C257" s="126"/>
      <c r="D257" s="90"/>
      <c r="E257" s="595" t="s">
        <v>62</v>
      </c>
      <c r="F257" s="88"/>
      <c r="G257" s="88"/>
      <c r="H257" s="88"/>
      <c r="I257" s="88"/>
      <c r="J257" s="88"/>
      <c r="K257" s="88"/>
      <c r="L257" s="89"/>
    </row>
    <row r="258" spans="2:12" ht="18">
      <c r="B258" s="85"/>
      <c r="C258" s="126"/>
      <c r="D258" s="90"/>
      <c r="E258" s="129" t="s">
        <v>551</v>
      </c>
      <c r="F258" s="88"/>
      <c r="G258" s="88"/>
      <c r="H258" s="88"/>
      <c r="I258" s="88">
        <v>8.28</v>
      </c>
      <c r="J258" s="88"/>
      <c r="K258" s="88"/>
      <c r="L258" s="89">
        <f aca="true" t="shared" si="8" ref="L258:L263">I258</f>
        <v>8.28</v>
      </c>
    </row>
    <row r="259" spans="2:12" ht="18">
      <c r="B259" s="85"/>
      <c r="C259" s="126"/>
      <c r="D259" s="90"/>
      <c r="E259" s="129" t="s">
        <v>550</v>
      </c>
      <c r="F259" s="88"/>
      <c r="G259" s="88"/>
      <c r="H259" s="88"/>
      <c r="I259" s="88">
        <v>11.76</v>
      </c>
      <c r="J259" s="88"/>
      <c r="K259" s="88"/>
      <c r="L259" s="89">
        <f t="shared" si="8"/>
        <v>11.76</v>
      </c>
    </row>
    <row r="260" spans="2:12" ht="18">
      <c r="B260" s="85"/>
      <c r="C260" s="126"/>
      <c r="D260" s="90"/>
      <c r="E260" s="129" t="s">
        <v>554</v>
      </c>
      <c r="F260" s="88"/>
      <c r="G260" s="88"/>
      <c r="H260" s="88"/>
      <c r="I260" s="88">
        <v>7.65</v>
      </c>
      <c r="J260" s="88"/>
      <c r="K260" s="88"/>
      <c r="L260" s="89">
        <f t="shared" si="8"/>
        <v>7.65</v>
      </c>
    </row>
    <row r="261" spans="2:12" ht="18">
      <c r="B261" s="85"/>
      <c r="C261" s="126"/>
      <c r="D261" s="90"/>
      <c r="E261" s="129" t="s">
        <v>553</v>
      </c>
      <c r="F261" s="88"/>
      <c r="G261" s="88"/>
      <c r="H261" s="88"/>
      <c r="I261" s="88">
        <v>8.55</v>
      </c>
      <c r="J261" s="88"/>
      <c r="K261" s="88"/>
      <c r="L261" s="89">
        <f t="shared" si="8"/>
        <v>8.55</v>
      </c>
    </row>
    <row r="262" spans="2:12" ht="18">
      <c r="B262" s="85"/>
      <c r="C262" s="126"/>
      <c r="D262" s="90"/>
      <c r="E262" s="129" t="s">
        <v>552</v>
      </c>
      <c r="F262" s="88"/>
      <c r="G262" s="88"/>
      <c r="H262" s="88"/>
      <c r="I262" s="88">
        <v>9.9</v>
      </c>
      <c r="J262" s="88"/>
      <c r="K262" s="88"/>
      <c r="L262" s="89">
        <f t="shared" si="8"/>
        <v>9.9</v>
      </c>
    </row>
    <row r="263" spans="2:12" ht="18">
      <c r="B263" s="85"/>
      <c r="C263" s="126"/>
      <c r="D263" s="90"/>
      <c r="E263" s="129" t="s">
        <v>549</v>
      </c>
      <c r="F263" s="88"/>
      <c r="G263" s="88"/>
      <c r="H263" s="88"/>
      <c r="I263" s="88">
        <v>9.72</v>
      </c>
      <c r="J263" s="88"/>
      <c r="K263" s="88"/>
      <c r="L263" s="89">
        <f t="shared" si="8"/>
        <v>9.72</v>
      </c>
    </row>
    <row r="264" spans="2:12" ht="18">
      <c r="B264" s="85"/>
      <c r="C264" s="126"/>
      <c r="D264" s="90"/>
      <c r="E264" s="129"/>
      <c r="F264" s="88"/>
      <c r="G264" s="88"/>
      <c r="H264" s="88"/>
      <c r="I264" s="88"/>
      <c r="J264" s="88"/>
      <c r="K264" s="88"/>
      <c r="L264" s="99">
        <f>SUM(L233:L263)</f>
        <v>316.15</v>
      </c>
    </row>
    <row r="265" spans="2:12" ht="21" customHeight="1">
      <c r="B265" s="290" t="str">
        <f>Orçamento!B202</f>
        <v>13.5</v>
      </c>
      <c r="C265" s="109" t="str">
        <f>Orçamento!C202</f>
        <v>Soleira em granito l=15cm</v>
      </c>
      <c r="D265" s="82" t="s">
        <v>33</v>
      </c>
      <c r="E265" s="414"/>
      <c r="F265" s="83"/>
      <c r="G265" s="83"/>
      <c r="H265" s="83"/>
      <c r="I265" s="83"/>
      <c r="J265" s="83"/>
      <c r="K265" s="83"/>
      <c r="L265" s="84"/>
    </row>
    <row r="266" spans="2:12" ht="21" customHeight="1">
      <c r="B266" s="292"/>
      <c r="C266" s="126"/>
      <c r="D266" s="90"/>
      <c r="E266" s="129" t="s">
        <v>834</v>
      </c>
      <c r="F266" s="88">
        <v>1.6</v>
      </c>
      <c r="G266" s="88"/>
      <c r="H266" s="88"/>
      <c r="I266" s="88"/>
      <c r="J266" s="88"/>
      <c r="K266" s="88"/>
      <c r="L266" s="89">
        <f>F266</f>
        <v>1.6</v>
      </c>
    </row>
    <row r="267" spans="2:12" ht="18">
      <c r="B267" s="85"/>
      <c r="C267" s="126"/>
      <c r="D267" s="90"/>
      <c r="E267" s="129" t="s">
        <v>830</v>
      </c>
      <c r="F267" s="88">
        <v>0.8</v>
      </c>
      <c r="G267" s="88"/>
      <c r="H267" s="88"/>
      <c r="I267" s="88"/>
      <c r="J267" s="88"/>
      <c r="K267" s="88"/>
      <c r="L267" s="89">
        <f aca="true" t="shared" si="9" ref="L267:L291">F267</f>
        <v>0.8</v>
      </c>
    </row>
    <row r="268" spans="2:12" ht="18">
      <c r="B268" s="85"/>
      <c r="C268" s="126"/>
      <c r="D268" s="90"/>
      <c r="E268" s="129" t="s">
        <v>549</v>
      </c>
      <c r="F268" s="88">
        <v>2.2</v>
      </c>
      <c r="G268" s="88"/>
      <c r="H268" s="88"/>
      <c r="I268" s="88"/>
      <c r="J268" s="88"/>
      <c r="K268" s="88"/>
      <c r="L268" s="89">
        <f t="shared" si="9"/>
        <v>2.2</v>
      </c>
    </row>
    <row r="269" spans="2:12" ht="18">
      <c r="B269" s="85"/>
      <c r="C269" s="126"/>
      <c r="D269" s="90"/>
      <c r="E269" s="129" t="s">
        <v>550</v>
      </c>
      <c r="F269" s="88">
        <v>2</v>
      </c>
      <c r="G269" s="88"/>
      <c r="H269" s="88"/>
      <c r="I269" s="88"/>
      <c r="J269" s="88"/>
      <c r="K269" s="88"/>
      <c r="L269" s="89">
        <f t="shared" si="9"/>
        <v>2</v>
      </c>
    </row>
    <row r="270" spans="2:12" ht="18">
      <c r="B270" s="85"/>
      <c r="C270" s="126"/>
      <c r="D270" s="90"/>
      <c r="E270" s="129" t="s">
        <v>551</v>
      </c>
      <c r="F270" s="88">
        <v>2</v>
      </c>
      <c r="G270" s="88"/>
      <c r="H270" s="88"/>
      <c r="I270" s="88"/>
      <c r="J270" s="88"/>
      <c r="K270" s="88"/>
      <c r="L270" s="89">
        <f t="shared" si="9"/>
        <v>2</v>
      </c>
    </row>
    <row r="271" spans="2:12" ht="18">
      <c r="B271" s="85"/>
      <c r="C271" s="126"/>
      <c r="D271" s="90"/>
      <c r="E271" s="129" t="s">
        <v>547</v>
      </c>
      <c r="F271" s="88">
        <v>1.1</v>
      </c>
      <c r="G271" s="88"/>
      <c r="H271" s="88"/>
      <c r="I271" s="88"/>
      <c r="J271" s="88"/>
      <c r="K271" s="88"/>
      <c r="L271" s="89">
        <f t="shared" si="9"/>
        <v>1.1</v>
      </c>
    </row>
    <row r="272" spans="2:12" ht="18">
      <c r="B272" s="85"/>
      <c r="C272" s="126"/>
      <c r="D272" s="90"/>
      <c r="E272" s="129" t="s">
        <v>536</v>
      </c>
      <c r="F272" s="88">
        <v>0.8</v>
      </c>
      <c r="G272" s="88"/>
      <c r="H272" s="88"/>
      <c r="I272" s="88"/>
      <c r="J272" s="88"/>
      <c r="K272" s="88"/>
      <c r="L272" s="89">
        <f t="shared" si="9"/>
        <v>0.8</v>
      </c>
    </row>
    <row r="273" spans="2:12" ht="18">
      <c r="B273" s="85"/>
      <c r="C273" s="126"/>
      <c r="D273" s="90"/>
      <c r="E273" s="129" t="s">
        <v>535</v>
      </c>
      <c r="F273" s="88">
        <v>0.8</v>
      </c>
      <c r="G273" s="88"/>
      <c r="H273" s="88"/>
      <c r="I273" s="88"/>
      <c r="J273" s="88"/>
      <c r="K273" s="88"/>
      <c r="L273" s="89">
        <f t="shared" si="9"/>
        <v>0.8</v>
      </c>
    </row>
    <row r="274" spans="2:12" ht="18">
      <c r="B274" s="85"/>
      <c r="C274" s="126"/>
      <c r="D274" s="90"/>
      <c r="E274" s="129" t="s">
        <v>831</v>
      </c>
      <c r="F274" s="88">
        <v>1.1</v>
      </c>
      <c r="G274" s="88"/>
      <c r="H274" s="88"/>
      <c r="I274" s="88"/>
      <c r="J274" s="88"/>
      <c r="K274" s="88"/>
      <c r="L274" s="89">
        <f t="shared" si="9"/>
        <v>1.1</v>
      </c>
    </row>
    <row r="275" spans="2:12" ht="18">
      <c r="B275" s="85"/>
      <c r="C275" s="126"/>
      <c r="D275" s="90"/>
      <c r="E275" s="129" t="s">
        <v>60</v>
      </c>
      <c r="F275" s="88">
        <v>0.7</v>
      </c>
      <c r="G275" s="88"/>
      <c r="H275" s="88"/>
      <c r="I275" s="88"/>
      <c r="J275" s="88"/>
      <c r="K275" s="88"/>
      <c r="L275" s="89">
        <f t="shared" si="9"/>
        <v>0.7</v>
      </c>
    </row>
    <row r="276" spans="2:12" ht="18">
      <c r="B276" s="85"/>
      <c r="C276" s="126"/>
      <c r="D276" s="90"/>
      <c r="E276" s="129" t="s">
        <v>90</v>
      </c>
      <c r="F276" s="88">
        <v>1</v>
      </c>
      <c r="G276" s="88"/>
      <c r="H276" s="88"/>
      <c r="I276" s="88"/>
      <c r="J276" s="88"/>
      <c r="K276" s="88"/>
      <c r="L276" s="89">
        <f t="shared" si="9"/>
        <v>1</v>
      </c>
    </row>
    <row r="277" spans="2:12" ht="18">
      <c r="B277" s="85"/>
      <c r="C277" s="126"/>
      <c r="D277" s="90"/>
      <c r="E277" s="129" t="s">
        <v>89</v>
      </c>
      <c r="F277" s="88">
        <v>0.8</v>
      </c>
      <c r="G277" s="88"/>
      <c r="H277" s="88"/>
      <c r="I277" s="88"/>
      <c r="J277" s="88"/>
      <c r="K277" s="88"/>
      <c r="L277" s="89">
        <f t="shared" si="9"/>
        <v>0.8</v>
      </c>
    </row>
    <row r="278" spans="2:12" ht="18">
      <c r="B278" s="85"/>
      <c r="C278" s="126"/>
      <c r="D278" s="90"/>
      <c r="E278" s="129" t="s">
        <v>538</v>
      </c>
      <c r="F278" s="88">
        <v>0.8</v>
      </c>
      <c r="G278" s="88"/>
      <c r="H278" s="88"/>
      <c r="I278" s="88"/>
      <c r="J278" s="88"/>
      <c r="K278" s="88"/>
      <c r="L278" s="89">
        <f t="shared" si="9"/>
        <v>0.8</v>
      </c>
    </row>
    <row r="279" spans="2:12" ht="18">
      <c r="B279" s="85"/>
      <c r="C279" s="126"/>
      <c r="D279" s="90"/>
      <c r="E279" s="129" t="s">
        <v>539</v>
      </c>
      <c r="F279" s="88">
        <v>1.1</v>
      </c>
      <c r="G279" s="88"/>
      <c r="H279" s="88"/>
      <c r="I279" s="88"/>
      <c r="J279" s="88"/>
      <c r="K279" s="88"/>
      <c r="L279" s="89">
        <f t="shared" si="9"/>
        <v>1.1</v>
      </c>
    </row>
    <row r="280" spans="2:12" ht="18">
      <c r="B280" s="85"/>
      <c r="C280" s="126"/>
      <c r="D280" s="90"/>
      <c r="E280" s="129" t="s">
        <v>540</v>
      </c>
      <c r="F280" s="88">
        <v>1.1</v>
      </c>
      <c r="G280" s="88"/>
      <c r="H280" s="88"/>
      <c r="I280" s="88"/>
      <c r="J280" s="88"/>
      <c r="K280" s="88"/>
      <c r="L280" s="89">
        <f t="shared" si="9"/>
        <v>1.1</v>
      </c>
    </row>
    <row r="281" spans="2:12" ht="18">
      <c r="B281" s="85"/>
      <c r="C281" s="126"/>
      <c r="D281" s="90"/>
      <c r="E281" s="129" t="s">
        <v>541</v>
      </c>
      <c r="F281" s="88">
        <v>0.8</v>
      </c>
      <c r="G281" s="88"/>
      <c r="H281" s="88"/>
      <c r="I281" s="88"/>
      <c r="J281" s="88"/>
      <c r="K281" s="88"/>
      <c r="L281" s="89">
        <f t="shared" si="9"/>
        <v>0.8</v>
      </c>
    </row>
    <row r="282" spans="2:12" ht="18">
      <c r="B282" s="85"/>
      <c r="C282" s="126"/>
      <c r="D282" s="90"/>
      <c r="E282" s="129" t="s">
        <v>542</v>
      </c>
      <c r="F282" s="88">
        <v>0.8</v>
      </c>
      <c r="G282" s="88"/>
      <c r="H282" s="88"/>
      <c r="I282" s="88"/>
      <c r="J282" s="88"/>
      <c r="K282" s="88"/>
      <c r="L282" s="89">
        <f t="shared" si="9"/>
        <v>0.8</v>
      </c>
    </row>
    <row r="283" spans="2:12" ht="18">
      <c r="B283" s="85"/>
      <c r="C283" s="126"/>
      <c r="D283" s="90"/>
      <c r="E283" s="129" t="s">
        <v>543</v>
      </c>
      <c r="F283" s="88">
        <v>1.1</v>
      </c>
      <c r="G283" s="88"/>
      <c r="H283" s="88"/>
      <c r="I283" s="88"/>
      <c r="J283" s="88"/>
      <c r="K283" s="88"/>
      <c r="L283" s="89">
        <f t="shared" si="9"/>
        <v>1.1</v>
      </c>
    </row>
    <row r="284" spans="2:12" ht="18">
      <c r="B284" s="85"/>
      <c r="C284" s="126"/>
      <c r="D284" s="90"/>
      <c r="E284" s="129" t="s">
        <v>92</v>
      </c>
      <c r="F284" s="88">
        <v>0.8</v>
      </c>
      <c r="G284" s="88"/>
      <c r="H284" s="88"/>
      <c r="I284" s="88"/>
      <c r="J284" s="88"/>
      <c r="K284" s="88"/>
      <c r="L284" s="89">
        <f t="shared" si="9"/>
        <v>0.8</v>
      </c>
    </row>
    <row r="285" spans="2:12" ht="18">
      <c r="B285" s="85"/>
      <c r="C285" s="126"/>
      <c r="D285" s="90"/>
      <c r="E285" s="129" t="s">
        <v>832</v>
      </c>
      <c r="F285" s="88">
        <v>0.8</v>
      </c>
      <c r="G285" s="88"/>
      <c r="H285" s="88"/>
      <c r="I285" s="88"/>
      <c r="J285" s="88"/>
      <c r="K285" s="88"/>
      <c r="L285" s="89">
        <f t="shared" si="9"/>
        <v>0.8</v>
      </c>
    </row>
    <row r="286" spans="2:12" ht="18">
      <c r="B286" s="85"/>
      <c r="C286" s="126"/>
      <c r="D286" s="90"/>
      <c r="E286" s="129" t="s">
        <v>833</v>
      </c>
      <c r="F286" s="88">
        <v>0.6</v>
      </c>
      <c r="G286" s="88"/>
      <c r="H286" s="88"/>
      <c r="I286" s="88"/>
      <c r="J286" s="88"/>
      <c r="K286" s="88"/>
      <c r="L286" s="89">
        <f t="shared" si="9"/>
        <v>0.6</v>
      </c>
    </row>
    <row r="287" spans="2:12" ht="18">
      <c r="B287" s="85"/>
      <c r="C287" s="126"/>
      <c r="D287" s="90"/>
      <c r="E287" s="129" t="s">
        <v>833</v>
      </c>
      <c r="F287" s="88">
        <v>0.6</v>
      </c>
      <c r="G287" s="88"/>
      <c r="H287" s="88"/>
      <c r="I287" s="88"/>
      <c r="J287" s="88"/>
      <c r="K287" s="88"/>
      <c r="L287" s="89">
        <f t="shared" si="9"/>
        <v>0.6</v>
      </c>
    </row>
    <row r="288" spans="2:12" ht="18">
      <c r="B288" s="85"/>
      <c r="C288" s="126"/>
      <c r="D288" s="90"/>
      <c r="E288" s="129" t="s">
        <v>82</v>
      </c>
      <c r="F288" s="88">
        <v>0.7</v>
      </c>
      <c r="G288" s="88"/>
      <c r="H288" s="88"/>
      <c r="I288" s="88"/>
      <c r="J288" s="88"/>
      <c r="K288" s="88"/>
      <c r="L288" s="89">
        <f t="shared" si="9"/>
        <v>0.7</v>
      </c>
    </row>
    <row r="289" spans="2:12" ht="18">
      <c r="B289" s="85"/>
      <c r="C289" s="126"/>
      <c r="D289" s="90"/>
      <c r="E289" s="129" t="s">
        <v>552</v>
      </c>
      <c r="F289" s="88">
        <v>2</v>
      </c>
      <c r="G289" s="88"/>
      <c r="H289" s="88"/>
      <c r="I289" s="88"/>
      <c r="J289" s="88"/>
      <c r="K289" s="88"/>
      <c r="L289" s="89">
        <f t="shared" si="9"/>
        <v>2</v>
      </c>
    </row>
    <row r="290" spans="2:12" ht="18">
      <c r="B290" s="85"/>
      <c r="C290" s="126"/>
      <c r="D290" s="90"/>
      <c r="E290" s="129" t="s">
        <v>553</v>
      </c>
      <c r="F290" s="88">
        <v>2</v>
      </c>
      <c r="G290" s="88"/>
      <c r="H290" s="88"/>
      <c r="I290" s="88"/>
      <c r="J290" s="88"/>
      <c r="K290" s="88"/>
      <c r="L290" s="89">
        <f t="shared" si="9"/>
        <v>2</v>
      </c>
    </row>
    <row r="291" spans="2:12" ht="18">
      <c r="B291" s="85"/>
      <c r="C291" s="126"/>
      <c r="D291" s="90"/>
      <c r="E291" s="129" t="s">
        <v>554</v>
      </c>
      <c r="F291" s="88">
        <v>2</v>
      </c>
      <c r="G291" s="88"/>
      <c r="H291" s="88"/>
      <c r="I291" s="88"/>
      <c r="J291" s="88"/>
      <c r="K291" s="88"/>
      <c r="L291" s="89">
        <f t="shared" si="9"/>
        <v>2</v>
      </c>
    </row>
    <row r="292" spans="2:12" ht="18">
      <c r="B292" s="85"/>
      <c r="C292" s="126"/>
      <c r="D292" s="90"/>
      <c r="E292" s="129"/>
      <c r="F292" s="88"/>
      <c r="G292" s="88"/>
      <c r="H292" s="88"/>
      <c r="I292" s="88"/>
      <c r="J292" s="88"/>
      <c r="K292" s="88"/>
      <c r="L292" s="99">
        <f>SUM(L266:L291)</f>
        <v>30.100000000000012</v>
      </c>
    </row>
    <row r="293" spans="2:12" ht="18">
      <c r="B293" s="374" t="str">
        <f>Orçamento!B203</f>
        <v>14.00</v>
      </c>
      <c r="C293" s="75" t="str">
        <f>Orçamento!C203</f>
        <v>VIDROS</v>
      </c>
      <c r="D293" s="75"/>
      <c r="E293" s="76"/>
      <c r="F293" s="77"/>
      <c r="G293" s="77"/>
      <c r="H293" s="77"/>
      <c r="I293" s="77"/>
      <c r="J293" s="77"/>
      <c r="K293" s="77"/>
      <c r="L293" s="78"/>
    </row>
    <row r="294" spans="2:12" ht="36">
      <c r="B294" s="130" t="str">
        <f>Orçamento!B204</f>
        <v>14.1</v>
      </c>
      <c r="C294" s="126" t="str">
        <f>Orçamento!C204</f>
        <v>Vidro temperado incolor, espessura 6mm, fornecimento e instalacao</v>
      </c>
      <c r="D294" s="90" t="s">
        <v>38</v>
      </c>
      <c r="E294" s="192"/>
      <c r="F294" s="131"/>
      <c r="G294" s="131"/>
      <c r="H294" s="131"/>
      <c r="I294" s="131"/>
      <c r="J294" s="131"/>
      <c r="K294" s="131"/>
      <c r="L294" s="272"/>
    </row>
    <row r="295" spans="2:12" ht="18">
      <c r="B295" s="130"/>
      <c r="C295" s="126"/>
      <c r="D295" s="90"/>
      <c r="E295" s="126" t="str">
        <f>C68</f>
        <v>Janela em alumínio, cor branco, de correr</v>
      </c>
      <c r="F295" s="131"/>
      <c r="G295" s="131"/>
      <c r="H295" s="131"/>
      <c r="I295" s="669">
        <f>L73</f>
        <v>9.49</v>
      </c>
      <c r="J295" s="131"/>
      <c r="K295" s="131"/>
      <c r="L295" s="89">
        <f>I295</f>
        <v>9.49</v>
      </c>
    </row>
    <row r="296" spans="2:12" ht="18">
      <c r="B296" s="130"/>
      <c r="C296" s="126"/>
      <c r="D296" s="90"/>
      <c r="E296" s="126" t="str">
        <f>C74</f>
        <v>Janela em alumínio, cor branco, maximar</v>
      </c>
      <c r="F296" s="131"/>
      <c r="G296" s="131"/>
      <c r="H296" s="131"/>
      <c r="I296" s="669">
        <f>L78</f>
        <v>5.26</v>
      </c>
      <c r="J296" s="131"/>
      <c r="K296" s="131"/>
      <c r="L296" s="89">
        <f>I296</f>
        <v>5.26</v>
      </c>
    </row>
    <row r="297" spans="2:12" ht="36">
      <c r="B297" s="130"/>
      <c r="C297" s="126"/>
      <c r="D297" s="90"/>
      <c r="E297" s="126" t="str">
        <f>C83</f>
        <v>Porta em aluminio, cor branco, de correr ou abrir, completa, exclusive vidros</v>
      </c>
      <c r="F297" s="131"/>
      <c r="G297" s="131"/>
      <c r="H297" s="131"/>
      <c r="I297" s="669">
        <f>L87</f>
        <v>29.62</v>
      </c>
      <c r="J297" s="131"/>
      <c r="K297" s="131"/>
      <c r="L297" s="89">
        <f>I297</f>
        <v>29.62</v>
      </c>
    </row>
    <row r="298" spans="2:12" ht="18">
      <c r="B298" s="150"/>
      <c r="C298" s="116"/>
      <c r="D298" s="116"/>
      <c r="E298" s="125"/>
      <c r="F298" s="114"/>
      <c r="G298" s="114"/>
      <c r="H298" s="114"/>
      <c r="I298" s="114"/>
      <c r="J298" s="114"/>
      <c r="K298" s="114"/>
      <c r="L298" s="97">
        <f>SUM(L295:L297)</f>
        <v>44.370000000000005</v>
      </c>
    </row>
    <row r="299" spans="2:12" ht="36">
      <c r="B299" s="130" t="str">
        <f>Orçamento!B205</f>
        <v>14.2</v>
      </c>
      <c r="C299" s="126" t="str">
        <f>Orçamento!C205</f>
        <v>Vidro temperado incolor, espessura 10mm, fornecimento e instalacao</v>
      </c>
      <c r="D299" s="82" t="s">
        <v>38</v>
      </c>
      <c r="E299" s="192"/>
      <c r="F299" s="131"/>
      <c r="G299" s="131"/>
      <c r="H299" s="131"/>
      <c r="I299" s="131"/>
      <c r="J299" s="131"/>
      <c r="K299" s="131"/>
      <c r="L299" s="272"/>
    </row>
    <row r="300" spans="2:12" ht="18">
      <c r="B300" s="133"/>
      <c r="C300" s="132"/>
      <c r="D300" s="132"/>
      <c r="E300" s="126" t="s">
        <v>847</v>
      </c>
      <c r="F300" s="131"/>
      <c r="G300" s="140">
        <v>2.65</v>
      </c>
      <c r="H300" s="140">
        <v>1</v>
      </c>
      <c r="I300" s="140">
        <f>G300*H300</f>
        <v>2.65</v>
      </c>
      <c r="J300" s="131"/>
      <c r="K300" s="140"/>
      <c r="L300" s="432">
        <f>I300</f>
        <v>2.65</v>
      </c>
    </row>
    <row r="301" spans="2:12" ht="18">
      <c r="B301" s="133"/>
      <c r="C301" s="132"/>
      <c r="D301" s="132"/>
      <c r="E301" s="126" t="s">
        <v>848</v>
      </c>
      <c r="F301" s="131"/>
      <c r="G301" s="140">
        <v>1.1</v>
      </c>
      <c r="H301" s="140">
        <v>1</v>
      </c>
      <c r="I301" s="140">
        <f>G301*H301</f>
        <v>1.1</v>
      </c>
      <c r="J301" s="131"/>
      <c r="K301" s="131"/>
      <c r="L301" s="432">
        <f>I301</f>
        <v>1.1</v>
      </c>
    </row>
    <row r="302" spans="2:12" ht="18">
      <c r="B302" s="133"/>
      <c r="C302" s="132"/>
      <c r="D302" s="132"/>
      <c r="E302" s="192"/>
      <c r="F302" s="131"/>
      <c r="G302" s="131"/>
      <c r="H302" s="131"/>
      <c r="I302" s="131"/>
      <c r="J302" s="131"/>
      <c r="K302" s="131"/>
      <c r="L302" s="280">
        <f>SUM(L300:L301)</f>
        <v>3.75</v>
      </c>
    </row>
    <row r="303" spans="2:12" ht="18" customHeight="1">
      <c r="B303" s="103" t="str">
        <f>Orçamento!B206</f>
        <v>15.00</v>
      </c>
      <c r="C303" s="104" t="str">
        <f>Orçamento!C206</f>
        <v>PINTURA</v>
      </c>
      <c r="D303" s="104"/>
      <c r="E303" s="105"/>
      <c r="F303" s="106"/>
      <c r="G303" s="106"/>
      <c r="H303" s="106"/>
      <c r="I303" s="106"/>
      <c r="J303" s="106"/>
      <c r="K303" s="106"/>
      <c r="L303" s="107"/>
    </row>
    <row r="304" spans="2:12" ht="18" customHeight="1">
      <c r="B304" s="108" t="str">
        <f>Orçamento!B207</f>
        <v>15.1</v>
      </c>
      <c r="C304" s="109" t="str">
        <f>Orçamento!C207</f>
        <v>Fundo selador acrílico, uma demão</v>
      </c>
      <c r="D304" s="82" t="s">
        <v>38</v>
      </c>
      <c r="E304" s="110"/>
      <c r="F304" s="111"/>
      <c r="G304" s="111"/>
      <c r="H304" s="111"/>
      <c r="I304" s="111"/>
      <c r="J304" s="111"/>
      <c r="K304" s="111"/>
      <c r="L304" s="112"/>
    </row>
    <row r="305" spans="2:12" ht="18" customHeight="1">
      <c r="B305" s="133"/>
      <c r="C305" s="126"/>
      <c r="D305" s="90"/>
      <c r="E305" s="144" t="s">
        <v>61</v>
      </c>
      <c r="F305" s="102"/>
      <c r="G305" s="102"/>
      <c r="H305" s="102"/>
      <c r="I305" s="102"/>
      <c r="J305" s="102"/>
      <c r="K305" s="102"/>
      <c r="L305" s="128"/>
    </row>
    <row r="306" spans="2:12" ht="18" customHeight="1">
      <c r="B306" s="133"/>
      <c r="C306" s="126"/>
      <c r="D306" s="90"/>
      <c r="E306" s="98" t="s">
        <v>534</v>
      </c>
      <c r="F306" s="140">
        <v>18.7</v>
      </c>
      <c r="G306" s="102"/>
      <c r="H306" s="140">
        <v>3</v>
      </c>
      <c r="I306" s="140">
        <f>F306*H306</f>
        <v>56.099999999999994</v>
      </c>
      <c r="J306" s="102"/>
      <c r="K306" s="88"/>
      <c r="L306" s="89">
        <f aca="true" t="shared" si="10" ref="L306:L327">I306</f>
        <v>56.099999999999994</v>
      </c>
    </row>
    <row r="307" spans="2:12" ht="18" customHeight="1">
      <c r="B307" s="133"/>
      <c r="C307" s="126"/>
      <c r="D307" s="90"/>
      <c r="E307" s="129" t="s">
        <v>91</v>
      </c>
      <c r="F307" s="140">
        <v>8.8</v>
      </c>
      <c r="G307" s="102"/>
      <c r="H307" s="140">
        <f>3-2.1</f>
        <v>0.8999999999999999</v>
      </c>
      <c r="I307" s="140">
        <f>F307*H307</f>
        <v>7.92</v>
      </c>
      <c r="J307" s="102"/>
      <c r="K307" s="88"/>
      <c r="L307" s="89">
        <f t="shared" si="10"/>
        <v>7.92</v>
      </c>
    </row>
    <row r="308" spans="2:12" ht="18" customHeight="1">
      <c r="B308" s="133"/>
      <c r="C308" s="126"/>
      <c r="D308" s="90"/>
      <c r="E308" s="98" t="s">
        <v>546</v>
      </c>
      <c r="F308" s="140">
        <v>63.6</v>
      </c>
      <c r="G308" s="102"/>
      <c r="H308" s="140">
        <v>3</v>
      </c>
      <c r="I308" s="140">
        <f aca="true" t="shared" si="11" ref="I308:I327">F308*H308</f>
        <v>190.8</v>
      </c>
      <c r="J308" s="102"/>
      <c r="K308" s="88"/>
      <c r="L308" s="89">
        <f t="shared" si="10"/>
        <v>190.8</v>
      </c>
    </row>
    <row r="309" spans="2:12" ht="18" customHeight="1">
      <c r="B309" s="133"/>
      <c r="C309" s="126"/>
      <c r="D309" s="90"/>
      <c r="E309" s="98" t="s">
        <v>556</v>
      </c>
      <c r="F309" s="140">
        <v>9.9</v>
      </c>
      <c r="G309" s="102"/>
      <c r="H309" s="140">
        <f>3-2.1</f>
        <v>0.8999999999999999</v>
      </c>
      <c r="I309" s="140">
        <f t="shared" si="11"/>
        <v>8.91</v>
      </c>
      <c r="J309" s="102"/>
      <c r="K309" s="88"/>
      <c r="L309" s="89">
        <f t="shared" si="10"/>
        <v>8.91</v>
      </c>
    </row>
    <row r="310" spans="2:12" ht="18" customHeight="1">
      <c r="B310" s="133"/>
      <c r="C310" s="126"/>
      <c r="D310" s="90"/>
      <c r="E310" s="98" t="s">
        <v>547</v>
      </c>
      <c r="F310" s="140">
        <v>15.4</v>
      </c>
      <c r="G310" s="102"/>
      <c r="H310" s="140">
        <v>3</v>
      </c>
      <c r="I310" s="140">
        <f t="shared" si="11"/>
        <v>46.2</v>
      </c>
      <c r="J310" s="102"/>
      <c r="K310" s="88"/>
      <c r="L310" s="89">
        <f t="shared" si="10"/>
        <v>46.2</v>
      </c>
    </row>
    <row r="311" spans="2:12" ht="18" customHeight="1">
      <c r="B311" s="133"/>
      <c r="C311" s="126"/>
      <c r="D311" s="90"/>
      <c r="E311" s="98" t="s">
        <v>535</v>
      </c>
      <c r="F311" s="140">
        <v>8.8</v>
      </c>
      <c r="G311" s="102"/>
      <c r="H311" s="140">
        <f>3-2.1</f>
        <v>0.8999999999999999</v>
      </c>
      <c r="I311" s="140">
        <f t="shared" si="11"/>
        <v>7.92</v>
      </c>
      <c r="J311" s="102"/>
      <c r="K311" s="88"/>
      <c r="L311" s="89">
        <f t="shared" si="10"/>
        <v>7.92</v>
      </c>
    </row>
    <row r="312" spans="2:12" ht="18" customHeight="1">
      <c r="B312" s="133"/>
      <c r="C312" s="126"/>
      <c r="D312" s="90"/>
      <c r="E312" s="98" t="s">
        <v>536</v>
      </c>
      <c r="F312" s="140">
        <v>8.8</v>
      </c>
      <c r="G312" s="88"/>
      <c r="H312" s="140">
        <f>3-2.1</f>
        <v>0.8999999999999999</v>
      </c>
      <c r="I312" s="140">
        <f t="shared" si="11"/>
        <v>7.92</v>
      </c>
      <c r="J312" s="102"/>
      <c r="K312" s="88"/>
      <c r="L312" s="89">
        <f t="shared" si="10"/>
        <v>7.92</v>
      </c>
    </row>
    <row r="313" spans="2:12" ht="18" customHeight="1">
      <c r="B313" s="133"/>
      <c r="C313" s="126"/>
      <c r="D313" s="90"/>
      <c r="E313" s="98" t="s">
        <v>537</v>
      </c>
      <c r="F313" s="88">
        <v>17.6</v>
      </c>
      <c r="G313" s="88"/>
      <c r="H313" s="140">
        <v>3</v>
      </c>
      <c r="I313" s="140">
        <f t="shared" si="11"/>
        <v>52.800000000000004</v>
      </c>
      <c r="J313" s="102"/>
      <c r="K313" s="88"/>
      <c r="L313" s="89">
        <f t="shared" si="10"/>
        <v>52.800000000000004</v>
      </c>
    </row>
    <row r="314" spans="2:12" ht="18" customHeight="1">
      <c r="B314" s="133"/>
      <c r="C314" s="126"/>
      <c r="D314" s="90"/>
      <c r="E314" s="98" t="s">
        <v>60</v>
      </c>
      <c r="F314" s="88">
        <v>11.3</v>
      </c>
      <c r="G314" s="88"/>
      <c r="H314" s="140">
        <v>3</v>
      </c>
      <c r="I314" s="140">
        <f t="shared" si="11"/>
        <v>33.900000000000006</v>
      </c>
      <c r="J314" s="102"/>
      <c r="K314" s="88"/>
      <c r="L314" s="89">
        <f t="shared" si="10"/>
        <v>33.900000000000006</v>
      </c>
    </row>
    <row r="315" spans="2:12" ht="18" customHeight="1">
      <c r="B315" s="133"/>
      <c r="C315" s="126"/>
      <c r="D315" s="90"/>
      <c r="E315" s="98" t="s">
        <v>90</v>
      </c>
      <c r="F315" s="88">
        <v>14.1</v>
      </c>
      <c r="G315" s="88"/>
      <c r="H315" s="140">
        <v>3</v>
      </c>
      <c r="I315" s="140">
        <f t="shared" si="11"/>
        <v>42.3</v>
      </c>
      <c r="J315" s="102"/>
      <c r="K315" s="88"/>
      <c r="L315" s="89">
        <f t="shared" si="10"/>
        <v>42.3</v>
      </c>
    </row>
    <row r="316" spans="2:12" ht="18" customHeight="1">
      <c r="B316" s="133"/>
      <c r="C316" s="126"/>
      <c r="D316" s="90"/>
      <c r="E316" s="98" t="s">
        <v>89</v>
      </c>
      <c r="F316" s="88">
        <v>6.6</v>
      </c>
      <c r="G316" s="88"/>
      <c r="H316" s="140">
        <f>3-2.1</f>
        <v>0.8999999999999999</v>
      </c>
      <c r="I316" s="140">
        <f t="shared" si="11"/>
        <v>5.9399999999999995</v>
      </c>
      <c r="J316" s="102"/>
      <c r="K316" s="88"/>
      <c r="L316" s="89">
        <f t="shared" si="10"/>
        <v>5.9399999999999995</v>
      </c>
    </row>
    <row r="317" spans="2:12" ht="18" customHeight="1">
      <c r="B317" s="133"/>
      <c r="C317" s="126"/>
      <c r="D317" s="90"/>
      <c r="E317" s="98" t="s">
        <v>538</v>
      </c>
      <c r="F317" s="88">
        <v>9.3</v>
      </c>
      <c r="G317" s="88"/>
      <c r="H317" s="140">
        <f>3-2.1</f>
        <v>0.8999999999999999</v>
      </c>
      <c r="I317" s="140">
        <f t="shared" si="11"/>
        <v>8.37</v>
      </c>
      <c r="J317" s="102"/>
      <c r="K317" s="88"/>
      <c r="L317" s="89">
        <f t="shared" si="10"/>
        <v>8.37</v>
      </c>
    </row>
    <row r="318" spans="2:12" ht="18" customHeight="1">
      <c r="B318" s="133"/>
      <c r="C318" s="126"/>
      <c r="D318" s="90"/>
      <c r="E318" s="190" t="s">
        <v>539</v>
      </c>
      <c r="F318" s="88">
        <v>15.4</v>
      </c>
      <c r="G318" s="88"/>
      <c r="H318" s="140">
        <v>3</v>
      </c>
      <c r="I318" s="140">
        <f t="shared" si="11"/>
        <v>46.2</v>
      </c>
      <c r="J318" s="102"/>
      <c r="K318" s="88"/>
      <c r="L318" s="89">
        <f t="shared" si="10"/>
        <v>46.2</v>
      </c>
    </row>
    <row r="319" spans="2:12" ht="18" customHeight="1">
      <c r="B319" s="133"/>
      <c r="C319" s="126"/>
      <c r="D319" s="90"/>
      <c r="E319" s="98" t="s">
        <v>540</v>
      </c>
      <c r="F319" s="88">
        <v>15.4</v>
      </c>
      <c r="G319" s="88"/>
      <c r="H319" s="140">
        <v>3</v>
      </c>
      <c r="I319" s="140">
        <f t="shared" si="11"/>
        <v>46.2</v>
      </c>
      <c r="J319" s="102"/>
      <c r="K319" s="88"/>
      <c r="L319" s="89">
        <f t="shared" si="10"/>
        <v>46.2</v>
      </c>
    </row>
    <row r="320" spans="2:12" ht="18" customHeight="1">
      <c r="B320" s="133"/>
      <c r="C320" s="126"/>
      <c r="D320" s="90"/>
      <c r="E320" s="98" t="s">
        <v>541</v>
      </c>
      <c r="F320" s="88">
        <v>8.9</v>
      </c>
      <c r="G320" s="88"/>
      <c r="H320" s="140">
        <f>3-2.1</f>
        <v>0.8999999999999999</v>
      </c>
      <c r="I320" s="140">
        <f t="shared" si="11"/>
        <v>8.01</v>
      </c>
      <c r="J320" s="102"/>
      <c r="K320" s="88"/>
      <c r="L320" s="89">
        <f t="shared" si="10"/>
        <v>8.01</v>
      </c>
    </row>
    <row r="321" spans="2:12" ht="18" customHeight="1">
      <c r="B321" s="133"/>
      <c r="C321" s="126"/>
      <c r="D321" s="90"/>
      <c r="E321" s="98" t="s">
        <v>542</v>
      </c>
      <c r="F321" s="88">
        <v>8.8</v>
      </c>
      <c r="G321" s="88"/>
      <c r="H321" s="140">
        <f>3-2.1</f>
        <v>0.8999999999999999</v>
      </c>
      <c r="I321" s="140">
        <f t="shared" si="11"/>
        <v>7.92</v>
      </c>
      <c r="J321" s="102"/>
      <c r="K321" s="88"/>
      <c r="L321" s="89">
        <f t="shared" si="10"/>
        <v>7.92</v>
      </c>
    </row>
    <row r="322" spans="2:12" ht="18" customHeight="1">
      <c r="B322" s="133"/>
      <c r="C322" s="126"/>
      <c r="D322" s="90"/>
      <c r="E322" s="98" t="s">
        <v>543</v>
      </c>
      <c r="F322" s="88">
        <v>15.5</v>
      </c>
      <c r="G322" s="88"/>
      <c r="H322" s="140">
        <v>3</v>
      </c>
      <c r="I322" s="140">
        <f t="shared" si="11"/>
        <v>46.5</v>
      </c>
      <c r="J322" s="102"/>
      <c r="K322" s="88"/>
      <c r="L322" s="89">
        <f t="shared" si="10"/>
        <v>46.5</v>
      </c>
    </row>
    <row r="323" spans="2:12" ht="18" customHeight="1">
      <c r="B323" s="133"/>
      <c r="C323" s="126"/>
      <c r="D323" s="90"/>
      <c r="E323" s="98" t="s">
        <v>92</v>
      </c>
      <c r="F323" s="88">
        <v>13.8</v>
      </c>
      <c r="G323" s="88"/>
      <c r="H323" s="140">
        <v>3</v>
      </c>
      <c r="I323" s="140">
        <f t="shared" si="11"/>
        <v>41.400000000000006</v>
      </c>
      <c r="J323" s="102"/>
      <c r="K323" s="88"/>
      <c r="L323" s="89">
        <f t="shared" si="10"/>
        <v>41.400000000000006</v>
      </c>
    </row>
    <row r="324" spans="2:12" ht="18" customHeight="1">
      <c r="B324" s="133"/>
      <c r="C324" s="126"/>
      <c r="D324" s="90"/>
      <c r="E324" s="98" t="s">
        <v>544</v>
      </c>
      <c r="F324" s="88">
        <v>7.9</v>
      </c>
      <c r="G324" s="88"/>
      <c r="H324" s="140">
        <v>3</v>
      </c>
      <c r="I324" s="140">
        <f t="shared" si="11"/>
        <v>23.700000000000003</v>
      </c>
      <c r="J324" s="102"/>
      <c r="K324" s="88"/>
      <c r="L324" s="89">
        <f t="shared" si="10"/>
        <v>23.700000000000003</v>
      </c>
    </row>
    <row r="325" spans="2:12" ht="18" customHeight="1">
      <c r="B325" s="133"/>
      <c r="C325" s="126"/>
      <c r="D325" s="90"/>
      <c r="E325" s="98" t="s">
        <v>545</v>
      </c>
      <c r="F325" s="88">
        <v>6.9</v>
      </c>
      <c r="G325" s="88"/>
      <c r="H325" s="140">
        <f>3-2.1</f>
        <v>0.8999999999999999</v>
      </c>
      <c r="I325" s="140">
        <f t="shared" si="11"/>
        <v>6.21</v>
      </c>
      <c r="J325" s="102"/>
      <c r="K325" s="88"/>
      <c r="L325" s="89">
        <f t="shared" si="10"/>
        <v>6.21</v>
      </c>
    </row>
    <row r="326" spans="2:12" ht="18" customHeight="1">
      <c r="B326" s="133"/>
      <c r="C326" s="126"/>
      <c r="D326" s="90"/>
      <c r="E326" s="98" t="s">
        <v>545</v>
      </c>
      <c r="F326" s="88">
        <v>6.8</v>
      </c>
      <c r="G326" s="88"/>
      <c r="H326" s="140">
        <f>3-2.1</f>
        <v>0.8999999999999999</v>
      </c>
      <c r="I326" s="140">
        <f t="shared" si="11"/>
        <v>6.119999999999999</v>
      </c>
      <c r="J326" s="102"/>
      <c r="K326" s="88"/>
      <c r="L326" s="89">
        <f t="shared" si="10"/>
        <v>6.119999999999999</v>
      </c>
    </row>
    <row r="327" spans="2:12" ht="18" customHeight="1">
      <c r="B327" s="133"/>
      <c r="C327" s="126"/>
      <c r="D327" s="90"/>
      <c r="E327" s="98" t="s">
        <v>82</v>
      </c>
      <c r="F327" s="88">
        <v>10.4</v>
      </c>
      <c r="G327" s="88"/>
      <c r="H327" s="140">
        <f>3-2.1</f>
        <v>0.8999999999999999</v>
      </c>
      <c r="I327" s="140">
        <f t="shared" si="11"/>
        <v>9.36</v>
      </c>
      <c r="J327" s="102"/>
      <c r="K327" s="88"/>
      <c r="L327" s="89">
        <f t="shared" si="10"/>
        <v>9.36</v>
      </c>
    </row>
    <row r="328" spans="2:12" ht="18" customHeight="1">
      <c r="B328" s="133"/>
      <c r="C328" s="126"/>
      <c r="D328" s="90"/>
      <c r="E328" s="98"/>
      <c r="F328" s="88"/>
      <c r="G328" s="88"/>
      <c r="H328" s="88"/>
      <c r="I328" s="88"/>
      <c r="J328" s="102"/>
      <c r="K328" s="88"/>
      <c r="L328" s="89"/>
    </row>
    <row r="329" spans="2:12" ht="18" customHeight="1">
      <c r="B329" s="133"/>
      <c r="C329" s="126"/>
      <c r="D329" s="90"/>
      <c r="E329" s="144" t="s">
        <v>62</v>
      </c>
      <c r="F329" s="140"/>
      <c r="G329" s="102"/>
      <c r="H329" s="140"/>
      <c r="I329" s="140"/>
      <c r="J329" s="102"/>
      <c r="K329" s="88"/>
      <c r="L329" s="89"/>
    </row>
    <row r="330" spans="2:12" ht="18" customHeight="1">
      <c r="B330" s="133"/>
      <c r="C330" s="132"/>
      <c r="D330" s="132"/>
      <c r="E330" s="98" t="s">
        <v>100</v>
      </c>
      <c r="F330" s="88">
        <f>68.4-10.05</f>
        <v>58.35000000000001</v>
      </c>
      <c r="G330" s="88"/>
      <c r="H330" s="88">
        <v>4.97</v>
      </c>
      <c r="I330" s="140">
        <f>F330*H330</f>
        <v>289.9995</v>
      </c>
      <c r="J330" s="102"/>
      <c r="K330" s="88"/>
      <c r="L330" s="89">
        <f aca="true" t="shared" si="12" ref="L330:L338">I330</f>
        <v>289.9995</v>
      </c>
    </row>
    <row r="331" spans="2:12" ht="18" customHeight="1">
      <c r="B331" s="133"/>
      <c r="C331" s="132"/>
      <c r="D331" s="132"/>
      <c r="E331" s="98" t="s">
        <v>548</v>
      </c>
      <c r="F331" s="88">
        <v>6.7</v>
      </c>
      <c r="G331" s="88"/>
      <c r="H331" s="88">
        <v>5.91</v>
      </c>
      <c r="I331" s="140">
        <f>F331*H331</f>
        <v>39.597</v>
      </c>
      <c r="J331" s="102"/>
      <c r="K331" s="88"/>
      <c r="L331" s="89">
        <f t="shared" si="12"/>
        <v>39.597</v>
      </c>
    </row>
    <row r="332" spans="2:12" ht="18" customHeight="1">
      <c r="B332" s="133"/>
      <c r="C332" s="132"/>
      <c r="D332" s="132"/>
      <c r="E332" s="98" t="s">
        <v>548</v>
      </c>
      <c r="F332" s="88">
        <v>4.9</v>
      </c>
      <c r="G332" s="88"/>
      <c r="H332" s="88">
        <v>0.7</v>
      </c>
      <c r="I332" s="140">
        <f>F332*H332</f>
        <v>3.43</v>
      </c>
      <c r="J332" s="102"/>
      <c r="K332" s="88"/>
      <c r="L332" s="89">
        <f t="shared" si="12"/>
        <v>3.43</v>
      </c>
    </row>
    <row r="333" spans="2:12" ht="18" customHeight="1">
      <c r="B333" s="133"/>
      <c r="C333" s="132"/>
      <c r="D333" s="132"/>
      <c r="E333" s="102" t="s">
        <v>549</v>
      </c>
      <c r="F333" s="140">
        <v>7.65</v>
      </c>
      <c r="G333" s="102"/>
      <c r="H333" s="140">
        <v>2.55</v>
      </c>
      <c r="I333" s="140">
        <f>F333*H333</f>
        <v>19.5075</v>
      </c>
      <c r="J333" s="102"/>
      <c r="K333" s="88"/>
      <c r="L333" s="89">
        <f t="shared" si="12"/>
        <v>19.5075</v>
      </c>
    </row>
    <row r="334" spans="2:12" ht="18" customHeight="1">
      <c r="B334" s="133"/>
      <c r="C334" s="132"/>
      <c r="D334" s="132"/>
      <c r="E334" s="102" t="s">
        <v>550</v>
      </c>
      <c r="F334" s="140">
        <v>10.9</v>
      </c>
      <c r="G334" s="102"/>
      <c r="H334" s="140">
        <v>2.55</v>
      </c>
      <c r="I334" s="140">
        <f aca="true" t="shared" si="13" ref="I334:I339">F334*H334</f>
        <v>27.794999999999998</v>
      </c>
      <c r="J334" s="102"/>
      <c r="K334" s="88"/>
      <c r="L334" s="89">
        <f t="shared" si="12"/>
        <v>27.794999999999998</v>
      </c>
    </row>
    <row r="335" spans="2:12" ht="18" customHeight="1">
      <c r="B335" s="133"/>
      <c r="C335" s="132"/>
      <c r="D335" s="132"/>
      <c r="E335" s="102" t="s">
        <v>551</v>
      </c>
      <c r="F335" s="140">
        <v>9.45</v>
      </c>
      <c r="G335" s="102"/>
      <c r="H335" s="140">
        <v>2.55</v>
      </c>
      <c r="I335" s="140">
        <f t="shared" si="13"/>
        <v>24.097499999999997</v>
      </c>
      <c r="J335" s="102"/>
      <c r="K335" s="88"/>
      <c r="L335" s="89">
        <f t="shared" si="12"/>
        <v>24.097499999999997</v>
      </c>
    </row>
    <row r="336" spans="2:12" ht="18" customHeight="1">
      <c r="B336" s="133"/>
      <c r="C336" s="132"/>
      <c r="D336" s="132"/>
      <c r="E336" s="102" t="s">
        <v>552</v>
      </c>
      <c r="F336" s="140">
        <v>10.1</v>
      </c>
      <c r="G336" s="102"/>
      <c r="H336" s="140">
        <v>2.55</v>
      </c>
      <c r="I336" s="140">
        <f t="shared" si="13"/>
        <v>25.755</v>
      </c>
      <c r="J336" s="102"/>
      <c r="K336" s="88"/>
      <c r="L336" s="89">
        <f t="shared" si="12"/>
        <v>25.755</v>
      </c>
    </row>
    <row r="337" spans="2:12" ht="18" customHeight="1">
      <c r="B337" s="133"/>
      <c r="C337" s="132"/>
      <c r="D337" s="132"/>
      <c r="E337" s="102" t="s">
        <v>553</v>
      </c>
      <c r="F337" s="140">
        <v>9.5</v>
      </c>
      <c r="G337" s="102"/>
      <c r="H337" s="140">
        <v>2.55</v>
      </c>
      <c r="I337" s="140">
        <f t="shared" si="13"/>
        <v>24.224999999999998</v>
      </c>
      <c r="J337" s="102"/>
      <c r="K337" s="88"/>
      <c r="L337" s="89">
        <f t="shared" si="12"/>
        <v>24.224999999999998</v>
      </c>
    </row>
    <row r="338" spans="2:12" ht="18" customHeight="1">
      <c r="B338" s="133"/>
      <c r="C338" s="132"/>
      <c r="D338" s="132"/>
      <c r="E338" s="102" t="s">
        <v>554</v>
      </c>
      <c r="F338" s="140">
        <v>9.1</v>
      </c>
      <c r="G338" s="102"/>
      <c r="H338" s="140">
        <v>2.55</v>
      </c>
      <c r="I338" s="140">
        <f t="shared" si="13"/>
        <v>23.205</v>
      </c>
      <c r="J338" s="102"/>
      <c r="K338" s="88"/>
      <c r="L338" s="89">
        <f t="shared" si="12"/>
        <v>23.205</v>
      </c>
    </row>
    <row r="339" spans="2:12" ht="18" customHeight="1">
      <c r="B339" s="133"/>
      <c r="C339" s="132"/>
      <c r="D339" s="132"/>
      <c r="E339" s="102" t="s">
        <v>555</v>
      </c>
      <c r="F339" s="140">
        <f>37.2-15.8</f>
        <v>21.400000000000002</v>
      </c>
      <c r="G339" s="102"/>
      <c r="H339" s="140">
        <v>2.7</v>
      </c>
      <c r="I339" s="140">
        <f t="shared" si="13"/>
        <v>57.78000000000001</v>
      </c>
      <c r="J339" s="102"/>
      <c r="K339" s="88"/>
      <c r="L339" s="89">
        <f>I339+7*0.79</f>
        <v>63.31000000000001</v>
      </c>
    </row>
    <row r="340" spans="2:12" ht="18" customHeight="1">
      <c r="B340" s="133"/>
      <c r="C340" s="132"/>
      <c r="D340" s="132"/>
      <c r="E340" s="102" t="s">
        <v>856</v>
      </c>
      <c r="F340" s="140">
        <v>30.25</v>
      </c>
      <c r="G340" s="140">
        <v>0.15</v>
      </c>
      <c r="H340" s="140">
        <v>0.6</v>
      </c>
      <c r="I340" s="140">
        <f>F340*G340+F340*H340*2</f>
        <v>40.8375</v>
      </c>
      <c r="J340" s="102"/>
      <c r="K340" s="88"/>
      <c r="L340" s="89">
        <f>I340+7*0.79</f>
        <v>46.3675</v>
      </c>
    </row>
    <row r="341" spans="2:12" ht="18" customHeight="1">
      <c r="B341" s="133"/>
      <c r="C341" s="132"/>
      <c r="D341" s="132"/>
      <c r="E341" s="102" t="s">
        <v>857</v>
      </c>
      <c r="F341" s="140"/>
      <c r="G341" s="102"/>
      <c r="H341" s="140"/>
      <c r="I341" s="140">
        <v>1.57</v>
      </c>
      <c r="J341" s="102"/>
      <c r="K341" s="88">
        <v>2</v>
      </c>
      <c r="L341" s="89">
        <f>I341*K341</f>
        <v>3.14</v>
      </c>
    </row>
    <row r="342" spans="2:12" ht="18" customHeight="1">
      <c r="B342" s="133"/>
      <c r="C342" s="132"/>
      <c r="D342" s="132"/>
      <c r="E342" s="98"/>
      <c r="F342" s="140"/>
      <c r="G342" s="102"/>
      <c r="H342" s="140"/>
      <c r="I342" s="88"/>
      <c r="J342" s="102"/>
      <c r="K342" s="88"/>
      <c r="L342" s="99">
        <f>SUM(L306:L341)-86.82</f>
        <v>1214.3090000000004</v>
      </c>
    </row>
    <row r="343" spans="2:12" ht="36">
      <c r="B343" s="108" t="str">
        <f>Orçamento!B208</f>
        <v>15.2</v>
      </c>
      <c r="C343" s="109" t="str">
        <f>Orçamento!C208</f>
        <v>Aplicação e lixamento de massa látex em paredes, duas demãos</v>
      </c>
      <c r="D343" s="82" t="s">
        <v>38</v>
      </c>
      <c r="E343" s="81"/>
      <c r="F343" s="81"/>
      <c r="G343" s="81"/>
      <c r="H343" s="81"/>
      <c r="I343" s="81"/>
      <c r="J343" s="81"/>
      <c r="K343" s="81"/>
      <c r="L343" s="127"/>
    </row>
    <row r="344" spans="2:12" ht="18">
      <c r="B344" s="85"/>
      <c r="C344" s="126"/>
      <c r="D344" s="90"/>
      <c r="E344" s="144" t="s">
        <v>61</v>
      </c>
      <c r="F344" s="102"/>
      <c r="G344" s="102"/>
      <c r="H344" s="102"/>
      <c r="I344" s="102"/>
      <c r="J344" s="102"/>
      <c r="K344" s="102"/>
      <c r="L344" s="128"/>
    </row>
    <row r="345" spans="2:12" ht="18">
      <c r="B345" s="85"/>
      <c r="C345" s="126"/>
      <c r="D345" s="90"/>
      <c r="E345" s="98" t="s">
        <v>534</v>
      </c>
      <c r="F345" s="140">
        <v>18.7</v>
      </c>
      <c r="G345" s="102"/>
      <c r="H345" s="140">
        <v>3</v>
      </c>
      <c r="I345" s="140">
        <f>F345*H345</f>
        <v>56.099999999999994</v>
      </c>
      <c r="J345" s="102"/>
      <c r="K345" s="88"/>
      <c r="L345" s="89">
        <f aca="true" t="shared" si="14" ref="L345:L366">I345</f>
        <v>56.099999999999994</v>
      </c>
    </row>
    <row r="346" spans="2:12" ht="18">
      <c r="B346" s="85"/>
      <c r="C346" s="126"/>
      <c r="D346" s="90"/>
      <c r="E346" s="129" t="s">
        <v>91</v>
      </c>
      <c r="F346" s="140">
        <v>8.8</v>
      </c>
      <c r="G346" s="102"/>
      <c r="H346" s="140">
        <f>3-2.1</f>
        <v>0.8999999999999999</v>
      </c>
      <c r="I346" s="140">
        <f>F346*H346</f>
        <v>7.92</v>
      </c>
      <c r="J346" s="102"/>
      <c r="K346" s="88"/>
      <c r="L346" s="89">
        <f t="shared" si="14"/>
        <v>7.92</v>
      </c>
    </row>
    <row r="347" spans="2:12" ht="18">
      <c r="B347" s="85"/>
      <c r="C347" s="126"/>
      <c r="D347" s="90"/>
      <c r="E347" s="98" t="s">
        <v>546</v>
      </c>
      <c r="F347" s="140">
        <v>63.6</v>
      </c>
      <c r="G347" s="102"/>
      <c r="H347" s="140">
        <v>3</v>
      </c>
      <c r="I347" s="140">
        <f aca="true" t="shared" si="15" ref="I347:I366">F347*H347</f>
        <v>190.8</v>
      </c>
      <c r="J347" s="102"/>
      <c r="K347" s="88"/>
      <c r="L347" s="89">
        <f t="shared" si="14"/>
        <v>190.8</v>
      </c>
    </row>
    <row r="348" spans="2:12" ht="18">
      <c r="B348" s="85"/>
      <c r="C348" s="126"/>
      <c r="D348" s="90"/>
      <c r="E348" s="98" t="s">
        <v>556</v>
      </c>
      <c r="F348" s="140">
        <v>9.9</v>
      </c>
      <c r="G348" s="102"/>
      <c r="H348" s="140">
        <f>3-2.1</f>
        <v>0.8999999999999999</v>
      </c>
      <c r="I348" s="140">
        <f t="shared" si="15"/>
        <v>8.91</v>
      </c>
      <c r="J348" s="102"/>
      <c r="K348" s="88"/>
      <c r="L348" s="89">
        <f t="shared" si="14"/>
        <v>8.91</v>
      </c>
    </row>
    <row r="349" spans="2:12" ht="18">
      <c r="B349" s="85"/>
      <c r="C349" s="126"/>
      <c r="D349" s="90"/>
      <c r="E349" s="98" t="s">
        <v>547</v>
      </c>
      <c r="F349" s="140">
        <v>15.4</v>
      </c>
      <c r="G349" s="102"/>
      <c r="H349" s="140">
        <v>3</v>
      </c>
      <c r="I349" s="140">
        <f t="shared" si="15"/>
        <v>46.2</v>
      </c>
      <c r="J349" s="102"/>
      <c r="K349" s="88"/>
      <c r="L349" s="89">
        <f t="shared" si="14"/>
        <v>46.2</v>
      </c>
    </row>
    <row r="350" spans="2:12" ht="18">
      <c r="B350" s="85"/>
      <c r="C350" s="126"/>
      <c r="D350" s="90"/>
      <c r="E350" s="98" t="s">
        <v>535</v>
      </c>
      <c r="F350" s="140">
        <v>8.8</v>
      </c>
      <c r="G350" s="102"/>
      <c r="H350" s="140">
        <f>3-2.1</f>
        <v>0.8999999999999999</v>
      </c>
      <c r="I350" s="140">
        <f t="shared" si="15"/>
        <v>7.92</v>
      </c>
      <c r="J350" s="102"/>
      <c r="K350" s="88"/>
      <c r="L350" s="89">
        <f t="shared" si="14"/>
        <v>7.92</v>
      </c>
    </row>
    <row r="351" spans="2:12" ht="18">
      <c r="B351" s="85"/>
      <c r="C351" s="126"/>
      <c r="D351" s="90"/>
      <c r="E351" s="98" t="s">
        <v>536</v>
      </c>
      <c r="F351" s="140">
        <v>8.8</v>
      </c>
      <c r="G351" s="88"/>
      <c r="H351" s="140">
        <f>3-2.1</f>
        <v>0.8999999999999999</v>
      </c>
      <c r="I351" s="140">
        <f t="shared" si="15"/>
        <v>7.92</v>
      </c>
      <c r="J351" s="102"/>
      <c r="K351" s="88"/>
      <c r="L351" s="89">
        <f t="shared" si="14"/>
        <v>7.92</v>
      </c>
    </row>
    <row r="352" spans="2:12" ht="18">
      <c r="B352" s="85"/>
      <c r="C352" s="126"/>
      <c r="D352" s="90"/>
      <c r="E352" s="98" t="s">
        <v>537</v>
      </c>
      <c r="F352" s="88">
        <v>17.6</v>
      </c>
      <c r="G352" s="88"/>
      <c r="H352" s="140">
        <v>3</v>
      </c>
      <c r="I352" s="140">
        <f t="shared" si="15"/>
        <v>52.800000000000004</v>
      </c>
      <c r="J352" s="102"/>
      <c r="K352" s="88"/>
      <c r="L352" s="89">
        <f t="shared" si="14"/>
        <v>52.800000000000004</v>
      </c>
    </row>
    <row r="353" spans="2:12" ht="18">
      <c r="B353" s="85"/>
      <c r="C353" s="126"/>
      <c r="D353" s="90"/>
      <c r="E353" s="98" t="s">
        <v>60</v>
      </c>
      <c r="F353" s="88">
        <v>11.3</v>
      </c>
      <c r="G353" s="88"/>
      <c r="H353" s="140">
        <v>3</v>
      </c>
      <c r="I353" s="140">
        <f t="shared" si="15"/>
        <v>33.900000000000006</v>
      </c>
      <c r="J353" s="102"/>
      <c r="K353" s="88"/>
      <c r="L353" s="89">
        <f t="shared" si="14"/>
        <v>33.900000000000006</v>
      </c>
    </row>
    <row r="354" spans="2:12" ht="18">
      <c r="B354" s="85"/>
      <c r="C354" s="126"/>
      <c r="D354" s="90"/>
      <c r="E354" s="98" t="s">
        <v>90</v>
      </c>
      <c r="F354" s="88">
        <v>14.1</v>
      </c>
      <c r="G354" s="88"/>
      <c r="H354" s="140">
        <v>3</v>
      </c>
      <c r="I354" s="140">
        <f t="shared" si="15"/>
        <v>42.3</v>
      </c>
      <c r="J354" s="102"/>
      <c r="K354" s="88"/>
      <c r="L354" s="89">
        <f t="shared" si="14"/>
        <v>42.3</v>
      </c>
    </row>
    <row r="355" spans="2:12" ht="18">
      <c r="B355" s="85"/>
      <c r="C355" s="126"/>
      <c r="D355" s="90"/>
      <c r="E355" s="98" t="s">
        <v>89</v>
      </c>
      <c r="F355" s="88">
        <v>6.6</v>
      </c>
      <c r="G355" s="88"/>
      <c r="H355" s="140">
        <f>3-2.1</f>
        <v>0.8999999999999999</v>
      </c>
      <c r="I355" s="140">
        <f t="shared" si="15"/>
        <v>5.9399999999999995</v>
      </c>
      <c r="J355" s="102"/>
      <c r="K355" s="88"/>
      <c r="L355" s="89">
        <f t="shared" si="14"/>
        <v>5.9399999999999995</v>
      </c>
    </row>
    <row r="356" spans="2:12" ht="18">
      <c r="B356" s="85"/>
      <c r="C356" s="126"/>
      <c r="D356" s="90"/>
      <c r="E356" s="98" t="s">
        <v>538</v>
      </c>
      <c r="F356" s="88">
        <v>9.3</v>
      </c>
      <c r="G356" s="88"/>
      <c r="H356" s="140">
        <f>3-2.1</f>
        <v>0.8999999999999999</v>
      </c>
      <c r="I356" s="140">
        <f t="shared" si="15"/>
        <v>8.37</v>
      </c>
      <c r="J356" s="102"/>
      <c r="K356" s="88"/>
      <c r="L356" s="89">
        <f t="shared" si="14"/>
        <v>8.37</v>
      </c>
    </row>
    <row r="357" spans="2:12" ht="18">
      <c r="B357" s="85"/>
      <c r="C357" s="126"/>
      <c r="D357" s="90"/>
      <c r="E357" s="190" t="s">
        <v>539</v>
      </c>
      <c r="F357" s="88">
        <v>15.4</v>
      </c>
      <c r="G357" s="88"/>
      <c r="H357" s="140">
        <v>3</v>
      </c>
      <c r="I357" s="140">
        <f t="shared" si="15"/>
        <v>46.2</v>
      </c>
      <c r="J357" s="102"/>
      <c r="K357" s="88"/>
      <c r="L357" s="89">
        <f t="shared" si="14"/>
        <v>46.2</v>
      </c>
    </row>
    <row r="358" spans="2:12" ht="18">
      <c r="B358" s="85"/>
      <c r="C358" s="126"/>
      <c r="D358" s="90"/>
      <c r="E358" s="98" t="s">
        <v>540</v>
      </c>
      <c r="F358" s="88">
        <v>15.4</v>
      </c>
      <c r="G358" s="88"/>
      <c r="H358" s="140">
        <v>3</v>
      </c>
      <c r="I358" s="140">
        <f t="shared" si="15"/>
        <v>46.2</v>
      </c>
      <c r="J358" s="102"/>
      <c r="K358" s="88"/>
      <c r="L358" s="89">
        <f t="shared" si="14"/>
        <v>46.2</v>
      </c>
    </row>
    <row r="359" spans="2:12" ht="18">
      <c r="B359" s="85"/>
      <c r="C359" s="126"/>
      <c r="D359" s="90"/>
      <c r="E359" s="98" t="s">
        <v>541</v>
      </c>
      <c r="F359" s="88">
        <v>8.9</v>
      </c>
      <c r="G359" s="88"/>
      <c r="H359" s="140">
        <f>3-2.1</f>
        <v>0.8999999999999999</v>
      </c>
      <c r="I359" s="140">
        <f t="shared" si="15"/>
        <v>8.01</v>
      </c>
      <c r="J359" s="102"/>
      <c r="K359" s="88"/>
      <c r="L359" s="89">
        <f t="shared" si="14"/>
        <v>8.01</v>
      </c>
    </row>
    <row r="360" spans="2:12" ht="18">
      <c r="B360" s="85"/>
      <c r="C360" s="126"/>
      <c r="D360" s="90"/>
      <c r="E360" s="98" t="s">
        <v>542</v>
      </c>
      <c r="F360" s="88">
        <v>8.8</v>
      </c>
      <c r="G360" s="88"/>
      <c r="H360" s="140">
        <f>3-2.1</f>
        <v>0.8999999999999999</v>
      </c>
      <c r="I360" s="140">
        <f t="shared" si="15"/>
        <v>7.92</v>
      </c>
      <c r="J360" s="102"/>
      <c r="K360" s="88"/>
      <c r="L360" s="89">
        <f t="shared" si="14"/>
        <v>7.92</v>
      </c>
    </row>
    <row r="361" spans="2:12" ht="18">
      <c r="B361" s="85"/>
      <c r="C361" s="126"/>
      <c r="D361" s="90"/>
      <c r="E361" s="98" t="s">
        <v>543</v>
      </c>
      <c r="F361" s="88">
        <v>15.5</v>
      </c>
      <c r="G361" s="88"/>
      <c r="H361" s="140">
        <v>3</v>
      </c>
      <c r="I361" s="140">
        <f t="shared" si="15"/>
        <v>46.5</v>
      </c>
      <c r="J361" s="102"/>
      <c r="K361" s="88"/>
      <c r="L361" s="89">
        <f t="shared" si="14"/>
        <v>46.5</v>
      </c>
    </row>
    <row r="362" spans="2:12" ht="18">
      <c r="B362" s="85"/>
      <c r="C362" s="126"/>
      <c r="D362" s="90"/>
      <c r="E362" s="98" t="s">
        <v>92</v>
      </c>
      <c r="F362" s="88">
        <v>13.8</v>
      </c>
      <c r="G362" s="88"/>
      <c r="H362" s="140">
        <v>3</v>
      </c>
      <c r="I362" s="140">
        <f t="shared" si="15"/>
        <v>41.400000000000006</v>
      </c>
      <c r="J362" s="102"/>
      <c r="K362" s="88"/>
      <c r="L362" s="89">
        <f t="shared" si="14"/>
        <v>41.400000000000006</v>
      </c>
    </row>
    <row r="363" spans="2:12" ht="18">
      <c r="B363" s="85"/>
      <c r="C363" s="126"/>
      <c r="D363" s="90"/>
      <c r="E363" s="98" t="s">
        <v>544</v>
      </c>
      <c r="F363" s="88">
        <v>7.9</v>
      </c>
      <c r="G363" s="88"/>
      <c r="H363" s="140">
        <v>3</v>
      </c>
      <c r="I363" s="140">
        <f t="shared" si="15"/>
        <v>23.700000000000003</v>
      </c>
      <c r="J363" s="102"/>
      <c r="K363" s="88"/>
      <c r="L363" s="89">
        <f t="shared" si="14"/>
        <v>23.700000000000003</v>
      </c>
    </row>
    <row r="364" spans="2:12" ht="18">
      <c r="B364" s="85"/>
      <c r="C364" s="126"/>
      <c r="D364" s="90"/>
      <c r="E364" s="98" t="s">
        <v>545</v>
      </c>
      <c r="F364" s="88">
        <v>6.9</v>
      </c>
      <c r="G364" s="88"/>
      <c r="H364" s="140">
        <f>3-2.1</f>
        <v>0.8999999999999999</v>
      </c>
      <c r="I364" s="140">
        <f t="shared" si="15"/>
        <v>6.21</v>
      </c>
      <c r="J364" s="102"/>
      <c r="K364" s="88"/>
      <c r="L364" s="89">
        <f t="shared" si="14"/>
        <v>6.21</v>
      </c>
    </row>
    <row r="365" spans="2:12" ht="18">
      <c r="B365" s="85"/>
      <c r="C365" s="126"/>
      <c r="D365" s="90"/>
      <c r="E365" s="98" t="s">
        <v>545</v>
      </c>
      <c r="F365" s="88">
        <v>6.8</v>
      </c>
      <c r="G365" s="88"/>
      <c r="H365" s="140">
        <f>3-2.1</f>
        <v>0.8999999999999999</v>
      </c>
      <c r="I365" s="140">
        <f t="shared" si="15"/>
        <v>6.119999999999999</v>
      </c>
      <c r="J365" s="102"/>
      <c r="K365" s="88"/>
      <c r="L365" s="89">
        <f t="shared" si="14"/>
        <v>6.119999999999999</v>
      </c>
    </row>
    <row r="366" spans="2:12" ht="18">
      <c r="B366" s="85"/>
      <c r="C366" s="126"/>
      <c r="D366" s="90"/>
      <c r="E366" s="98" t="s">
        <v>82</v>
      </c>
      <c r="F366" s="88">
        <v>10.4</v>
      </c>
      <c r="G366" s="88"/>
      <c r="H366" s="140">
        <f>3-2.1</f>
        <v>0.8999999999999999</v>
      </c>
      <c r="I366" s="140">
        <f t="shared" si="15"/>
        <v>9.36</v>
      </c>
      <c r="J366" s="102"/>
      <c r="K366" s="88"/>
      <c r="L366" s="89">
        <f t="shared" si="14"/>
        <v>9.36</v>
      </c>
    </row>
    <row r="367" spans="2:12" ht="18">
      <c r="B367" s="85"/>
      <c r="C367" s="126"/>
      <c r="D367" s="90"/>
      <c r="E367" s="102"/>
      <c r="F367" s="102"/>
      <c r="G367" s="102"/>
      <c r="H367" s="102"/>
      <c r="I367" s="102"/>
      <c r="J367" s="102"/>
      <c r="K367" s="102"/>
      <c r="L367" s="99">
        <f>SUM(L344:L366)</f>
        <v>710.7000000000002</v>
      </c>
    </row>
    <row r="368" spans="2:12" ht="54">
      <c r="B368" s="108" t="str">
        <f>Orçamento!B209</f>
        <v>15.3</v>
      </c>
      <c r="C368" s="109" t="str">
        <f>Orçamento!C209</f>
        <v>Aplicação manual de pintura com tinta hospitalar acrílica, acabamento  acetinada em paredes, sem odor, duas demãos</v>
      </c>
      <c r="D368" s="82" t="s">
        <v>38</v>
      </c>
      <c r="E368" s="81"/>
      <c r="F368" s="81"/>
      <c r="G368" s="81"/>
      <c r="H368" s="81"/>
      <c r="I368" s="81"/>
      <c r="J368" s="81"/>
      <c r="K368" s="81"/>
      <c r="L368" s="127"/>
    </row>
    <row r="369" spans="2:12" ht="18" customHeight="1">
      <c r="B369" s="85"/>
      <c r="C369" s="126"/>
      <c r="D369" s="90"/>
      <c r="E369" s="144" t="s">
        <v>61</v>
      </c>
      <c r="F369" s="102"/>
      <c r="G369" s="102"/>
      <c r="H369" s="102"/>
      <c r="I369" s="102"/>
      <c r="J369" s="102"/>
      <c r="K369" s="102"/>
      <c r="L369" s="128"/>
    </row>
    <row r="370" spans="2:12" ht="18" customHeight="1">
      <c r="B370" s="85"/>
      <c r="C370" s="126"/>
      <c r="D370" s="90"/>
      <c r="E370" s="98" t="s">
        <v>534</v>
      </c>
      <c r="F370" s="140">
        <v>18.7</v>
      </c>
      <c r="G370" s="102"/>
      <c r="H370" s="140">
        <v>3</v>
      </c>
      <c r="I370" s="140">
        <f>F370*H370</f>
        <v>56.099999999999994</v>
      </c>
      <c r="J370" s="102"/>
      <c r="K370" s="88"/>
      <c r="L370" s="89">
        <f aca="true" t="shared" si="16" ref="L370:L391">I370</f>
        <v>56.099999999999994</v>
      </c>
    </row>
    <row r="371" spans="2:12" ht="18" customHeight="1">
      <c r="B371" s="85"/>
      <c r="C371" s="126"/>
      <c r="D371" s="90"/>
      <c r="E371" s="129" t="s">
        <v>91</v>
      </c>
      <c r="F371" s="140">
        <v>8.8</v>
      </c>
      <c r="G371" s="102"/>
      <c r="H371" s="140">
        <f>3-2.1</f>
        <v>0.8999999999999999</v>
      </c>
      <c r="I371" s="140">
        <f>F371*H371</f>
        <v>7.92</v>
      </c>
      <c r="J371" s="102"/>
      <c r="K371" s="88"/>
      <c r="L371" s="89">
        <f t="shared" si="16"/>
        <v>7.92</v>
      </c>
    </row>
    <row r="372" spans="2:12" ht="18" customHeight="1">
      <c r="B372" s="85"/>
      <c r="C372" s="126"/>
      <c r="D372" s="90"/>
      <c r="E372" s="98" t="s">
        <v>546</v>
      </c>
      <c r="F372" s="140">
        <v>63.6</v>
      </c>
      <c r="G372" s="102"/>
      <c r="H372" s="140">
        <v>3</v>
      </c>
      <c r="I372" s="140">
        <f aca="true" t="shared" si="17" ref="I372:I391">F372*H372</f>
        <v>190.8</v>
      </c>
      <c r="J372" s="102"/>
      <c r="K372" s="88"/>
      <c r="L372" s="89">
        <f t="shared" si="16"/>
        <v>190.8</v>
      </c>
    </row>
    <row r="373" spans="2:12" ht="18" customHeight="1">
      <c r="B373" s="85"/>
      <c r="C373" s="126"/>
      <c r="D373" s="90"/>
      <c r="E373" s="98" t="s">
        <v>556</v>
      </c>
      <c r="F373" s="140">
        <v>9.9</v>
      </c>
      <c r="G373" s="102"/>
      <c r="H373" s="140">
        <f>3-2.1</f>
        <v>0.8999999999999999</v>
      </c>
      <c r="I373" s="140">
        <f t="shared" si="17"/>
        <v>8.91</v>
      </c>
      <c r="J373" s="102"/>
      <c r="K373" s="88"/>
      <c r="L373" s="89">
        <f t="shared" si="16"/>
        <v>8.91</v>
      </c>
    </row>
    <row r="374" spans="2:12" ht="18" customHeight="1">
      <c r="B374" s="85"/>
      <c r="C374" s="126"/>
      <c r="D374" s="90"/>
      <c r="E374" s="98" t="s">
        <v>547</v>
      </c>
      <c r="F374" s="140">
        <v>15.4</v>
      </c>
      <c r="G374" s="102"/>
      <c r="H374" s="140">
        <v>3</v>
      </c>
      <c r="I374" s="140">
        <f t="shared" si="17"/>
        <v>46.2</v>
      </c>
      <c r="J374" s="102"/>
      <c r="K374" s="88"/>
      <c r="L374" s="89">
        <f t="shared" si="16"/>
        <v>46.2</v>
      </c>
    </row>
    <row r="375" spans="2:12" ht="18" customHeight="1">
      <c r="B375" s="85"/>
      <c r="C375" s="126"/>
      <c r="D375" s="90"/>
      <c r="E375" s="98" t="s">
        <v>535</v>
      </c>
      <c r="F375" s="140">
        <v>8.8</v>
      </c>
      <c r="G375" s="102"/>
      <c r="H375" s="140">
        <f>3-2.1</f>
        <v>0.8999999999999999</v>
      </c>
      <c r="I375" s="140">
        <f t="shared" si="17"/>
        <v>7.92</v>
      </c>
      <c r="J375" s="102"/>
      <c r="K375" s="88"/>
      <c r="L375" s="89">
        <f t="shared" si="16"/>
        <v>7.92</v>
      </c>
    </row>
    <row r="376" spans="2:12" ht="18" customHeight="1">
      <c r="B376" s="85"/>
      <c r="C376" s="126"/>
      <c r="D376" s="90"/>
      <c r="E376" s="98" t="s">
        <v>536</v>
      </c>
      <c r="F376" s="140">
        <v>8.8</v>
      </c>
      <c r="G376" s="88"/>
      <c r="H376" s="140">
        <f>3-2.1</f>
        <v>0.8999999999999999</v>
      </c>
      <c r="I376" s="140">
        <f t="shared" si="17"/>
        <v>7.92</v>
      </c>
      <c r="J376" s="102"/>
      <c r="K376" s="88"/>
      <c r="L376" s="89">
        <f t="shared" si="16"/>
        <v>7.92</v>
      </c>
    </row>
    <row r="377" spans="2:12" ht="18" customHeight="1">
      <c r="B377" s="85"/>
      <c r="C377" s="126"/>
      <c r="D377" s="90"/>
      <c r="E377" s="98" t="s">
        <v>537</v>
      </c>
      <c r="F377" s="88">
        <v>17.6</v>
      </c>
      <c r="G377" s="88"/>
      <c r="H377" s="140">
        <v>3</v>
      </c>
      <c r="I377" s="140">
        <f t="shared" si="17"/>
        <v>52.800000000000004</v>
      </c>
      <c r="J377" s="102"/>
      <c r="K377" s="88"/>
      <c r="L377" s="89">
        <f t="shared" si="16"/>
        <v>52.800000000000004</v>
      </c>
    </row>
    <row r="378" spans="2:12" ht="18" customHeight="1">
      <c r="B378" s="85"/>
      <c r="C378" s="126"/>
      <c r="D378" s="90"/>
      <c r="E378" s="98" t="s">
        <v>60</v>
      </c>
      <c r="F378" s="88">
        <v>11.3</v>
      </c>
      <c r="G378" s="88"/>
      <c r="H378" s="140">
        <v>3</v>
      </c>
      <c r="I378" s="140">
        <f t="shared" si="17"/>
        <v>33.900000000000006</v>
      </c>
      <c r="J378" s="102"/>
      <c r="K378" s="88"/>
      <c r="L378" s="89">
        <f t="shared" si="16"/>
        <v>33.900000000000006</v>
      </c>
    </row>
    <row r="379" spans="2:12" ht="18" customHeight="1">
      <c r="B379" s="85"/>
      <c r="C379" s="126"/>
      <c r="D379" s="90"/>
      <c r="E379" s="98" t="s">
        <v>90</v>
      </c>
      <c r="F379" s="88">
        <v>14.1</v>
      </c>
      <c r="G379" s="88"/>
      <c r="H379" s="140">
        <v>3</v>
      </c>
      <c r="I379" s="140">
        <f t="shared" si="17"/>
        <v>42.3</v>
      </c>
      <c r="J379" s="102"/>
      <c r="K379" s="88"/>
      <c r="L379" s="89">
        <f t="shared" si="16"/>
        <v>42.3</v>
      </c>
    </row>
    <row r="380" spans="2:12" ht="18" customHeight="1">
      <c r="B380" s="85"/>
      <c r="C380" s="126"/>
      <c r="D380" s="90"/>
      <c r="E380" s="98" t="s">
        <v>89</v>
      </c>
      <c r="F380" s="88">
        <v>6.6</v>
      </c>
      <c r="G380" s="88"/>
      <c r="H380" s="140">
        <f>3-2.1</f>
        <v>0.8999999999999999</v>
      </c>
      <c r="I380" s="140">
        <f t="shared" si="17"/>
        <v>5.9399999999999995</v>
      </c>
      <c r="J380" s="102"/>
      <c r="K380" s="88"/>
      <c r="L380" s="89">
        <f t="shared" si="16"/>
        <v>5.9399999999999995</v>
      </c>
    </row>
    <row r="381" spans="2:12" ht="18" customHeight="1">
      <c r="B381" s="85"/>
      <c r="C381" s="126"/>
      <c r="D381" s="90"/>
      <c r="E381" s="98" t="s">
        <v>538</v>
      </c>
      <c r="F381" s="88">
        <v>9.3</v>
      </c>
      <c r="G381" s="88"/>
      <c r="H381" s="140">
        <f>3-2.1</f>
        <v>0.8999999999999999</v>
      </c>
      <c r="I381" s="140">
        <f t="shared" si="17"/>
        <v>8.37</v>
      </c>
      <c r="J381" s="102"/>
      <c r="K381" s="88"/>
      <c r="L381" s="89">
        <f t="shared" si="16"/>
        <v>8.37</v>
      </c>
    </row>
    <row r="382" spans="2:12" ht="18" customHeight="1">
      <c r="B382" s="85"/>
      <c r="C382" s="126"/>
      <c r="D382" s="90"/>
      <c r="E382" s="190" t="s">
        <v>539</v>
      </c>
      <c r="F382" s="88">
        <v>15.4</v>
      </c>
      <c r="G382" s="88"/>
      <c r="H382" s="140">
        <v>3</v>
      </c>
      <c r="I382" s="140">
        <f t="shared" si="17"/>
        <v>46.2</v>
      </c>
      <c r="J382" s="102"/>
      <c r="K382" s="88"/>
      <c r="L382" s="89">
        <f t="shared" si="16"/>
        <v>46.2</v>
      </c>
    </row>
    <row r="383" spans="2:12" ht="18" customHeight="1">
      <c r="B383" s="85"/>
      <c r="C383" s="126"/>
      <c r="D383" s="90"/>
      <c r="E383" s="98" t="s">
        <v>540</v>
      </c>
      <c r="F383" s="88">
        <v>15.4</v>
      </c>
      <c r="G383" s="88"/>
      <c r="H383" s="140">
        <v>3</v>
      </c>
      <c r="I383" s="140">
        <f t="shared" si="17"/>
        <v>46.2</v>
      </c>
      <c r="J383" s="102"/>
      <c r="K383" s="88"/>
      <c r="L383" s="89">
        <f t="shared" si="16"/>
        <v>46.2</v>
      </c>
    </row>
    <row r="384" spans="2:12" ht="18" customHeight="1">
      <c r="B384" s="85"/>
      <c r="C384" s="126"/>
      <c r="D384" s="90"/>
      <c r="E384" s="98" t="s">
        <v>541</v>
      </c>
      <c r="F384" s="88">
        <v>8.9</v>
      </c>
      <c r="G384" s="88"/>
      <c r="H384" s="140">
        <f>3-2.1</f>
        <v>0.8999999999999999</v>
      </c>
      <c r="I384" s="140">
        <f t="shared" si="17"/>
        <v>8.01</v>
      </c>
      <c r="J384" s="102"/>
      <c r="K384" s="88"/>
      <c r="L384" s="89">
        <f t="shared" si="16"/>
        <v>8.01</v>
      </c>
    </row>
    <row r="385" spans="2:12" ht="18" customHeight="1">
      <c r="B385" s="85"/>
      <c r="C385" s="126"/>
      <c r="D385" s="90"/>
      <c r="E385" s="98" t="s">
        <v>542</v>
      </c>
      <c r="F385" s="88">
        <v>8.8</v>
      </c>
      <c r="G385" s="88"/>
      <c r="H385" s="140">
        <f>3-2.1</f>
        <v>0.8999999999999999</v>
      </c>
      <c r="I385" s="140">
        <f t="shared" si="17"/>
        <v>7.92</v>
      </c>
      <c r="J385" s="102"/>
      <c r="K385" s="88"/>
      <c r="L385" s="89">
        <f t="shared" si="16"/>
        <v>7.92</v>
      </c>
    </row>
    <row r="386" spans="2:12" ht="18" customHeight="1">
      <c r="B386" s="85"/>
      <c r="C386" s="126"/>
      <c r="D386" s="90"/>
      <c r="E386" s="98" t="s">
        <v>543</v>
      </c>
      <c r="F386" s="88">
        <v>15.5</v>
      </c>
      <c r="G386" s="88"/>
      <c r="H386" s="140">
        <v>3</v>
      </c>
      <c r="I386" s="140">
        <f t="shared" si="17"/>
        <v>46.5</v>
      </c>
      <c r="J386" s="102"/>
      <c r="K386" s="88"/>
      <c r="L386" s="89">
        <f t="shared" si="16"/>
        <v>46.5</v>
      </c>
    </row>
    <row r="387" spans="2:12" ht="18" customHeight="1">
      <c r="B387" s="85"/>
      <c r="C387" s="126"/>
      <c r="D387" s="90"/>
      <c r="E387" s="98" t="s">
        <v>92</v>
      </c>
      <c r="F387" s="88">
        <v>13.8</v>
      </c>
      <c r="G387" s="88"/>
      <c r="H387" s="140">
        <v>3</v>
      </c>
      <c r="I387" s="140">
        <f t="shared" si="17"/>
        <v>41.400000000000006</v>
      </c>
      <c r="J387" s="102"/>
      <c r="K387" s="88"/>
      <c r="L387" s="89">
        <f t="shared" si="16"/>
        <v>41.400000000000006</v>
      </c>
    </row>
    <row r="388" spans="2:12" ht="18" customHeight="1">
      <c r="B388" s="85"/>
      <c r="C388" s="126"/>
      <c r="D388" s="90"/>
      <c r="E388" s="98" t="s">
        <v>544</v>
      </c>
      <c r="F388" s="88">
        <v>7.9</v>
      </c>
      <c r="G388" s="88"/>
      <c r="H388" s="140">
        <v>3</v>
      </c>
      <c r="I388" s="140">
        <f t="shared" si="17"/>
        <v>23.700000000000003</v>
      </c>
      <c r="J388" s="102"/>
      <c r="K388" s="88"/>
      <c r="L388" s="89">
        <f t="shared" si="16"/>
        <v>23.700000000000003</v>
      </c>
    </row>
    <row r="389" spans="2:12" ht="18" customHeight="1">
      <c r="B389" s="85"/>
      <c r="C389" s="126"/>
      <c r="D389" s="90"/>
      <c r="E389" s="98" t="s">
        <v>545</v>
      </c>
      <c r="F389" s="88">
        <v>6.9</v>
      </c>
      <c r="G389" s="88"/>
      <c r="H389" s="140">
        <f>3-2.1</f>
        <v>0.8999999999999999</v>
      </c>
      <c r="I389" s="140">
        <f t="shared" si="17"/>
        <v>6.21</v>
      </c>
      <c r="J389" s="102"/>
      <c r="K389" s="88"/>
      <c r="L389" s="89">
        <f t="shared" si="16"/>
        <v>6.21</v>
      </c>
    </row>
    <row r="390" spans="2:12" ht="18" customHeight="1">
      <c r="B390" s="85"/>
      <c r="C390" s="126"/>
      <c r="D390" s="90"/>
      <c r="E390" s="98" t="s">
        <v>545</v>
      </c>
      <c r="F390" s="88">
        <v>6.8</v>
      </c>
      <c r="G390" s="88"/>
      <c r="H390" s="140">
        <f>3-2.1</f>
        <v>0.8999999999999999</v>
      </c>
      <c r="I390" s="140">
        <f t="shared" si="17"/>
        <v>6.119999999999999</v>
      </c>
      <c r="J390" s="102"/>
      <c r="K390" s="88"/>
      <c r="L390" s="89">
        <f t="shared" si="16"/>
        <v>6.119999999999999</v>
      </c>
    </row>
    <row r="391" spans="2:12" ht="18" customHeight="1">
      <c r="B391" s="85"/>
      <c r="C391" s="126"/>
      <c r="D391" s="90"/>
      <c r="E391" s="98" t="s">
        <v>82</v>
      </c>
      <c r="F391" s="88">
        <v>10.4</v>
      </c>
      <c r="G391" s="88"/>
      <c r="H391" s="140">
        <f>3-2.1</f>
        <v>0.8999999999999999</v>
      </c>
      <c r="I391" s="140">
        <f t="shared" si="17"/>
        <v>9.36</v>
      </c>
      <c r="J391" s="102"/>
      <c r="K391" s="88"/>
      <c r="L391" s="89">
        <f t="shared" si="16"/>
        <v>9.36</v>
      </c>
    </row>
    <row r="392" spans="2:12" ht="18" customHeight="1">
      <c r="B392" s="91"/>
      <c r="C392" s="113"/>
      <c r="D392" s="96"/>
      <c r="E392" s="94"/>
      <c r="F392" s="94"/>
      <c r="G392" s="94"/>
      <c r="H392" s="94"/>
      <c r="I392" s="94"/>
      <c r="J392" s="94"/>
      <c r="K392" s="94"/>
      <c r="L392" s="97">
        <f>SUM(L369:L391)</f>
        <v>710.7000000000002</v>
      </c>
    </row>
    <row r="393" spans="2:12" ht="36">
      <c r="B393" s="130" t="str">
        <f>Orçamento!B210</f>
        <v>15.4</v>
      </c>
      <c r="C393" s="126" t="str">
        <f>Orçamento!C210</f>
        <v>Aplicação de fundo selador látex PVA em teto, uma demão</v>
      </c>
      <c r="D393" s="90" t="s">
        <v>38</v>
      </c>
      <c r="E393" s="102"/>
      <c r="F393" s="102"/>
      <c r="G393" s="102"/>
      <c r="H393" s="102"/>
      <c r="I393" s="102"/>
      <c r="J393" s="102"/>
      <c r="K393" s="102"/>
      <c r="L393" s="99"/>
    </row>
    <row r="394" spans="2:12" ht="18">
      <c r="B394" s="130"/>
      <c r="C394" s="126"/>
      <c r="D394" s="90"/>
      <c r="E394" s="102" t="s">
        <v>91</v>
      </c>
      <c r="F394" s="102"/>
      <c r="G394" s="102"/>
      <c r="H394" s="102"/>
      <c r="I394" s="143">
        <v>4.78</v>
      </c>
      <c r="J394" s="102"/>
      <c r="K394" s="102"/>
      <c r="L394" s="89">
        <f>I394</f>
        <v>4.78</v>
      </c>
    </row>
    <row r="395" spans="2:12" ht="18">
      <c r="B395" s="130"/>
      <c r="C395" s="126"/>
      <c r="D395" s="90"/>
      <c r="E395" s="98" t="s">
        <v>547</v>
      </c>
      <c r="F395" s="88"/>
      <c r="G395" s="88"/>
      <c r="H395" s="88"/>
      <c r="I395" s="88">
        <v>14.73</v>
      </c>
      <c r="J395" s="102"/>
      <c r="K395" s="102"/>
      <c r="L395" s="89">
        <f aca="true" t="shared" si="18" ref="L395:L412">I395</f>
        <v>14.73</v>
      </c>
    </row>
    <row r="396" spans="2:12" ht="18">
      <c r="B396" s="130"/>
      <c r="C396" s="126"/>
      <c r="D396" s="90"/>
      <c r="E396" s="98" t="s">
        <v>535</v>
      </c>
      <c r="F396" s="88"/>
      <c r="G396" s="88"/>
      <c r="H396" s="88"/>
      <c r="I396" s="88">
        <v>4.8</v>
      </c>
      <c r="J396" s="102"/>
      <c r="K396" s="102"/>
      <c r="L396" s="89">
        <f t="shared" si="18"/>
        <v>4.8</v>
      </c>
    </row>
    <row r="397" spans="2:12" ht="18">
      <c r="B397" s="130"/>
      <c r="C397" s="126"/>
      <c r="D397" s="90"/>
      <c r="E397" s="98" t="s">
        <v>536</v>
      </c>
      <c r="F397" s="88"/>
      <c r="G397" s="88"/>
      <c r="H397" s="88"/>
      <c r="I397" s="88">
        <v>4.8</v>
      </c>
      <c r="J397" s="102"/>
      <c r="K397" s="102"/>
      <c r="L397" s="89">
        <f t="shared" si="18"/>
        <v>4.8</v>
      </c>
    </row>
    <row r="398" spans="2:12" ht="18">
      <c r="B398" s="130"/>
      <c r="C398" s="126"/>
      <c r="D398" s="90"/>
      <c r="E398" s="98" t="s">
        <v>537</v>
      </c>
      <c r="F398" s="88"/>
      <c r="G398" s="88"/>
      <c r="H398" s="88"/>
      <c r="I398" s="88">
        <v>19.3</v>
      </c>
      <c r="J398" s="102"/>
      <c r="K398" s="102"/>
      <c r="L398" s="89">
        <f t="shared" si="18"/>
        <v>19.3</v>
      </c>
    </row>
    <row r="399" spans="2:12" ht="18">
      <c r="B399" s="130"/>
      <c r="C399" s="126"/>
      <c r="D399" s="90"/>
      <c r="E399" s="98" t="s">
        <v>60</v>
      </c>
      <c r="F399" s="88"/>
      <c r="G399" s="88"/>
      <c r="H399" s="88"/>
      <c r="I399" s="88">
        <v>6.23</v>
      </c>
      <c r="J399" s="102"/>
      <c r="K399" s="102"/>
      <c r="L399" s="89">
        <f t="shared" si="18"/>
        <v>6.23</v>
      </c>
    </row>
    <row r="400" spans="2:12" ht="18">
      <c r="B400" s="130"/>
      <c r="C400" s="126"/>
      <c r="D400" s="90"/>
      <c r="E400" s="98" t="s">
        <v>90</v>
      </c>
      <c r="F400" s="88"/>
      <c r="G400" s="88"/>
      <c r="H400" s="88"/>
      <c r="I400" s="88">
        <v>11.97</v>
      </c>
      <c r="J400" s="102"/>
      <c r="K400" s="102"/>
      <c r="L400" s="89">
        <f t="shared" si="18"/>
        <v>11.97</v>
      </c>
    </row>
    <row r="401" spans="2:12" ht="18">
      <c r="B401" s="130"/>
      <c r="C401" s="126"/>
      <c r="D401" s="90"/>
      <c r="E401" s="98" t="s">
        <v>89</v>
      </c>
      <c r="F401" s="88"/>
      <c r="G401" s="88"/>
      <c r="H401" s="88"/>
      <c r="I401" s="88">
        <v>2.63</v>
      </c>
      <c r="J401" s="102"/>
      <c r="K401" s="102"/>
      <c r="L401" s="89">
        <f t="shared" si="18"/>
        <v>2.63</v>
      </c>
    </row>
    <row r="402" spans="2:12" ht="18">
      <c r="B402" s="130"/>
      <c r="C402" s="126"/>
      <c r="D402" s="90"/>
      <c r="E402" s="98" t="s">
        <v>538</v>
      </c>
      <c r="F402" s="88"/>
      <c r="G402" s="88"/>
      <c r="H402" s="88"/>
      <c r="I402" s="88">
        <v>5.26</v>
      </c>
      <c r="J402" s="102"/>
      <c r="K402" s="102"/>
      <c r="L402" s="89">
        <f t="shared" si="18"/>
        <v>5.26</v>
      </c>
    </row>
    <row r="403" spans="2:12" ht="18">
      <c r="B403" s="130"/>
      <c r="C403" s="126"/>
      <c r="D403" s="90"/>
      <c r="E403" s="190" t="s">
        <v>539</v>
      </c>
      <c r="F403" s="88"/>
      <c r="G403" s="88"/>
      <c r="H403" s="88"/>
      <c r="I403" s="88">
        <v>14.7</v>
      </c>
      <c r="J403" s="102"/>
      <c r="K403" s="102"/>
      <c r="L403" s="89">
        <f t="shared" si="18"/>
        <v>14.7</v>
      </c>
    </row>
    <row r="404" spans="2:12" ht="18">
      <c r="B404" s="130"/>
      <c r="C404" s="126"/>
      <c r="D404" s="90"/>
      <c r="E404" s="98" t="s">
        <v>540</v>
      </c>
      <c r="F404" s="88"/>
      <c r="G404" s="88"/>
      <c r="H404" s="88"/>
      <c r="I404" s="88">
        <v>14.7</v>
      </c>
      <c r="J404" s="102"/>
      <c r="K404" s="102"/>
      <c r="L404" s="89">
        <f t="shared" si="18"/>
        <v>14.7</v>
      </c>
    </row>
    <row r="405" spans="2:12" ht="18">
      <c r="B405" s="130"/>
      <c r="C405" s="126"/>
      <c r="D405" s="90"/>
      <c r="E405" s="98" t="s">
        <v>541</v>
      </c>
      <c r="F405" s="88"/>
      <c r="G405" s="88"/>
      <c r="H405" s="88"/>
      <c r="I405" s="88">
        <v>4.92</v>
      </c>
      <c r="J405" s="102"/>
      <c r="K405" s="102"/>
      <c r="L405" s="89">
        <f t="shared" si="18"/>
        <v>4.92</v>
      </c>
    </row>
    <row r="406" spans="2:12" ht="18">
      <c r="B406" s="130"/>
      <c r="C406" s="126"/>
      <c r="D406" s="90"/>
      <c r="E406" s="98" t="s">
        <v>542</v>
      </c>
      <c r="F406" s="88"/>
      <c r="G406" s="88"/>
      <c r="H406" s="88"/>
      <c r="I406" s="88">
        <v>4.8</v>
      </c>
      <c r="J406" s="102"/>
      <c r="K406" s="102"/>
      <c r="L406" s="89">
        <f t="shared" si="18"/>
        <v>4.8</v>
      </c>
    </row>
    <row r="407" spans="2:12" ht="18">
      <c r="B407" s="130"/>
      <c r="C407" s="126"/>
      <c r="D407" s="90"/>
      <c r="E407" s="98" t="s">
        <v>543</v>
      </c>
      <c r="F407" s="88"/>
      <c r="G407" s="88"/>
      <c r="H407" s="88"/>
      <c r="I407" s="88">
        <v>14.91</v>
      </c>
      <c r="J407" s="102"/>
      <c r="K407" s="102"/>
      <c r="L407" s="89">
        <f t="shared" si="18"/>
        <v>14.91</v>
      </c>
    </row>
    <row r="408" spans="2:12" ht="18">
      <c r="B408" s="130"/>
      <c r="C408" s="126"/>
      <c r="D408" s="90"/>
      <c r="E408" s="98" t="s">
        <v>92</v>
      </c>
      <c r="F408" s="88"/>
      <c r="G408" s="88"/>
      <c r="H408" s="88"/>
      <c r="I408" s="88">
        <v>11.34</v>
      </c>
      <c r="J408" s="102"/>
      <c r="K408" s="140"/>
      <c r="L408" s="89">
        <f t="shared" si="18"/>
        <v>11.34</v>
      </c>
    </row>
    <row r="409" spans="2:12" ht="18">
      <c r="B409" s="130"/>
      <c r="C409" s="126"/>
      <c r="D409" s="90"/>
      <c r="E409" s="98" t="s">
        <v>544</v>
      </c>
      <c r="F409" s="88"/>
      <c r="G409" s="88"/>
      <c r="H409" s="88"/>
      <c r="I409" s="88">
        <v>3.79</v>
      </c>
      <c r="J409" s="102"/>
      <c r="K409" s="102"/>
      <c r="L409" s="89">
        <f t="shared" si="18"/>
        <v>3.79</v>
      </c>
    </row>
    <row r="410" spans="2:12" ht="18">
      <c r="B410" s="130"/>
      <c r="C410" s="126"/>
      <c r="D410" s="90"/>
      <c r="E410" s="98" t="s">
        <v>545</v>
      </c>
      <c r="F410" s="88"/>
      <c r="G410" s="88"/>
      <c r="H410" s="88"/>
      <c r="I410" s="88">
        <v>2.65</v>
      </c>
      <c r="J410" s="102"/>
      <c r="K410" s="140"/>
      <c r="L410" s="89">
        <f t="shared" si="18"/>
        <v>2.65</v>
      </c>
    </row>
    <row r="411" spans="2:12" ht="18">
      <c r="B411" s="130"/>
      <c r="C411" s="126"/>
      <c r="D411" s="90"/>
      <c r="E411" s="98" t="s">
        <v>545</v>
      </c>
      <c r="F411" s="88"/>
      <c r="G411" s="88"/>
      <c r="H411" s="88"/>
      <c r="I411" s="88">
        <v>2.53</v>
      </c>
      <c r="J411" s="102"/>
      <c r="K411" s="102"/>
      <c r="L411" s="89">
        <f t="shared" si="18"/>
        <v>2.53</v>
      </c>
    </row>
    <row r="412" spans="2:12" ht="18">
      <c r="B412" s="130"/>
      <c r="C412" s="126"/>
      <c r="D412" s="90"/>
      <c r="E412" s="98" t="s">
        <v>82</v>
      </c>
      <c r="F412" s="88"/>
      <c r="G412" s="88"/>
      <c r="H412" s="88"/>
      <c r="I412" s="88">
        <v>4.7</v>
      </c>
      <c r="J412" s="102"/>
      <c r="K412" s="102"/>
      <c r="L412" s="89">
        <f t="shared" si="18"/>
        <v>4.7</v>
      </c>
    </row>
    <row r="413" spans="2:12" ht="18" customHeight="1">
      <c r="B413" s="85"/>
      <c r="C413" s="126"/>
      <c r="D413" s="90"/>
      <c r="E413" s="102"/>
      <c r="F413" s="102"/>
      <c r="G413" s="102"/>
      <c r="H413" s="102"/>
      <c r="I413" s="102"/>
      <c r="J413" s="102"/>
      <c r="K413" s="102"/>
      <c r="L413" s="99">
        <f>SUM(L395:L412)</f>
        <v>148.76</v>
      </c>
    </row>
    <row r="414" spans="2:12" ht="36">
      <c r="B414" s="108" t="str">
        <f>Orçamento!B211</f>
        <v>15.5</v>
      </c>
      <c r="C414" s="109" t="str">
        <f>Orçamento!C211</f>
        <v>Aplicação e lixamento de massa látex em teto, duas demãos</v>
      </c>
      <c r="D414" s="82" t="s">
        <v>38</v>
      </c>
      <c r="E414" s="81"/>
      <c r="F414" s="81"/>
      <c r="G414" s="81"/>
      <c r="H414" s="81"/>
      <c r="I414" s="81"/>
      <c r="J414" s="81"/>
      <c r="K414" s="81"/>
      <c r="L414" s="84"/>
    </row>
    <row r="415" spans="2:12" ht="18" customHeight="1">
      <c r="B415" s="85"/>
      <c r="C415" s="126"/>
      <c r="D415" s="90"/>
      <c r="E415" s="98" t="s">
        <v>546</v>
      </c>
      <c r="F415" s="88"/>
      <c r="G415" s="88"/>
      <c r="H415" s="88"/>
      <c r="I415" s="88">
        <f>11.08+31.19+29.93</f>
        <v>72.2</v>
      </c>
      <c r="J415" s="102"/>
      <c r="K415" s="102"/>
      <c r="L415" s="142">
        <f aca="true" t="shared" si="19" ref="L415:L436">I415</f>
        <v>72.2</v>
      </c>
    </row>
    <row r="416" spans="2:12" ht="18" customHeight="1">
      <c r="B416" s="85"/>
      <c r="C416" s="126"/>
      <c r="D416" s="90"/>
      <c r="E416" s="98" t="s">
        <v>534</v>
      </c>
      <c r="F416" s="88"/>
      <c r="G416" s="88"/>
      <c r="H416" s="88"/>
      <c r="I416" s="88">
        <v>18.73</v>
      </c>
      <c r="J416" s="102"/>
      <c r="K416" s="102"/>
      <c r="L416" s="142">
        <f t="shared" si="19"/>
        <v>18.73</v>
      </c>
    </row>
    <row r="417" spans="2:12" ht="18" customHeight="1">
      <c r="B417" s="85"/>
      <c r="C417" s="126"/>
      <c r="D417" s="90"/>
      <c r="E417" s="102" t="s">
        <v>91</v>
      </c>
      <c r="F417" s="88"/>
      <c r="G417" s="88"/>
      <c r="H417" s="88"/>
      <c r="I417" s="143">
        <v>4.78</v>
      </c>
      <c r="J417" s="102"/>
      <c r="K417" s="102"/>
      <c r="L417" s="142">
        <f t="shared" si="19"/>
        <v>4.78</v>
      </c>
    </row>
    <row r="418" spans="2:12" ht="18" customHeight="1">
      <c r="B418" s="85"/>
      <c r="C418" s="126"/>
      <c r="D418" s="90"/>
      <c r="E418" s="98" t="s">
        <v>556</v>
      </c>
      <c r="F418" s="88"/>
      <c r="G418" s="88"/>
      <c r="H418" s="88"/>
      <c r="I418" s="143">
        <f>5.95+2.75</f>
        <v>8.7</v>
      </c>
      <c r="J418" s="102"/>
      <c r="K418" s="102"/>
      <c r="L418" s="142">
        <f t="shared" si="19"/>
        <v>8.7</v>
      </c>
    </row>
    <row r="419" spans="2:12" ht="18" customHeight="1">
      <c r="B419" s="85"/>
      <c r="C419" s="126"/>
      <c r="D419" s="90"/>
      <c r="E419" s="98" t="s">
        <v>547</v>
      </c>
      <c r="F419" s="88"/>
      <c r="G419" s="88"/>
      <c r="H419" s="88"/>
      <c r="I419" s="88">
        <v>14.73</v>
      </c>
      <c r="J419" s="102"/>
      <c r="K419" s="102"/>
      <c r="L419" s="142">
        <f t="shared" si="19"/>
        <v>14.73</v>
      </c>
    </row>
    <row r="420" spans="2:12" ht="18" customHeight="1">
      <c r="B420" s="85"/>
      <c r="C420" s="126"/>
      <c r="D420" s="90"/>
      <c r="E420" s="98" t="s">
        <v>535</v>
      </c>
      <c r="F420" s="88"/>
      <c r="G420" s="88"/>
      <c r="H420" s="88"/>
      <c r="I420" s="88">
        <v>4.8</v>
      </c>
      <c r="J420" s="102"/>
      <c r="K420" s="102"/>
      <c r="L420" s="142">
        <f t="shared" si="19"/>
        <v>4.8</v>
      </c>
    </row>
    <row r="421" spans="2:12" ht="18" customHeight="1">
      <c r="B421" s="85"/>
      <c r="C421" s="126"/>
      <c r="D421" s="90"/>
      <c r="E421" s="98" t="s">
        <v>536</v>
      </c>
      <c r="F421" s="88"/>
      <c r="G421" s="88"/>
      <c r="H421" s="88"/>
      <c r="I421" s="88">
        <v>4.8</v>
      </c>
      <c r="J421" s="102"/>
      <c r="K421" s="102"/>
      <c r="L421" s="142">
        <f t="shared" si="19"/>
        <v>4.8</v>
      </c>
    </row>
    <row r="422" spans="2:12" ht="18" customHeight="1">
      <c r="B422" s="85"/>
      <c r="C422" s="126"/>
      <c r="D422" s="90"/>
      <c r="E422" s="98" t="s">
        <v>537</v>
      </c>
      <c r="F422" s="88"/>
      <c r="G422" s="88"/>
      <c r="H422" s="88"/>
      <c r="I422" s="88">
        <v>19.3</v>
      </c>
      <c r="J422" s="102"/>
      <c r="K422" s="102"/>
      <c r="L422" s="142">
        <f t="shared" si="19"/>
        <v>19.3</v>
      </c>
    </row>
    <row r="423" spans="2:12" ht="18" customHeight="1">
      <c r="B423" s="85"/>
      <c r="C423" s="126"/>
      <c r="D423" s="90"/>
      <c r="E423" s="98" t="s">
        <v>60</v>
      </c>
      <c r="F423" s="88"/>
      <c r="G423" s="88"/>
      <c r="H423" s="88"/>
      <c r="I423" s="88">
        <v>6.23</v>
      </c>
      <c r="J423" s="102"/>
      <c r="K423" s="102"/>
      <c r="L423" s="142">
        <f t="shared" si="19"/>
        <v>6.23</v>
      </c>
    </row>
    <row r="424" spans="2:12" ht="18" customHeight="1">
      <c r="B424" s="85"/>
      <c r="C424" s="126"/>
      <c r="D424" s="90"/>
      <c r="E424" s="98" t="s">
        <v>90</v>
      </c>
      <c r="F424" s="88"/>
      <c r="G424" s="88"/>
      <c r="H424" s="88"/>
      <c r="I424" s="88">
        <v>11.97</v>
      </c>
      <c r="J424" s="102"/>
      <c r="K424" s="102"/>
      <c r="L424" s="142">
        <f t="shared" si="19"/>
        <v>11.97</v>
      </c>
    </row>
    <row r="425" spans="2:12" ht="18" customHeight="1">
      <c r="B425" s="85"/>
      <c r="C425" s="126"/>
      <c r="D425" s="90"/>
      <c r="E425" s="98" t="s">
        <v>89</v>
      </c>
      <c r="F425" s="88"/>
      <c r="G425" s="88"/>
      <c r="H425" s="88"/>
      <c r="I425" s="88">
        <v>2.63</v>
      </c>
      <c r="J425" s="102"/>
      <c r="K425" s="102"/>
      <c r="L425" s="142">
        <f t="shared" si="19"/>
        <v>2.63</v>
      </c>
    </row>
    <row r="426" spans="2:12" ht="18" customHeight="1">
      <c r="B426" s="85"/>
      <c r="C426" s="126"/>
      <c r="D426" s="90"/>
      <c r="E426" s="98" t="s">
        <v>538</v>
      </c>
      <c r="F426" s="88"/>
      <c r="G426" s="88"/>
      <c r="H426" s="88"/>
      <c r="I426" s="88">
        <v>5.26</v>
      </c>
      <c r="J426" s="102"/>
      <c r="K426" s="102"/>
      <c r="L426" s="142">
        <f t="shared" si="19"/>
        <v>5.26</v>
      </c>
    </row>
    <row r="427" spans="2:12" ht="18" customHeight="1">
      <c r="B427" s="85"/>
      <c r="C427" s="126"/>
      <c r="D427" s="90"/>
      <c r="E427" s="190" t="s">
        <v>539</v>
      </c>
      <c r="F427" s="88"/>
      <c r="G427" s="88"/>
      <c r="H427" s="88"/>
      <c r="I427" s="88">
        <v>14.7</v>
      </c>
      <c r="J427" s="102"/>
      <c r="K427" s="102"/>
      <c r="L427" s="142">
        <f t="shared" si="19"/>
        <v>14.7</v>
      </c>
    </row>
    <row r="428" spans="2:12" ht="18" customHeight="1">
      <c r="B428" s="85"/>
      <c r="C428" s="126"/>
      <c r="D428" s="90"/>
      <c r="E428" s="98" t="s">
        <v>540</v>
      </c>
      <c r="F428" s="88"/>
      <c r="G428" s="88"/>
      <c r="H428" s="88"/>
      <c r="I428" s="88">
        <v>14.7</v>
      </c>
      <c r="J428" s="102"/>
      <c r="K428" s="102"/>
      <c r="L428" s="142">
        <f t="shared" si="19"/>
        <v>14.7</v>
      </c>
    </row>
    <row r="429" spans="2:12" ht="18" customHeight="1">
      <c r="B429" s="85"/>
      <c r="C429" s="126"/>
      <c r="D429" s="90"/>
      <c r="E429" s="98" t="s">
        <v>541</v>
      </c>
      <c r="F429" s="88"/>
      <c r="G429" s="88"/>
      <c r="H429" s="88"/>
      <c r="I429" s="88">
        <v>4.92</v>
      </c>
      <c r="J429" s="102"/>
      <c r="K429" s="140"/>
      <c r="L429" s="142">
        <f t="shared" si="19"/>
        <v>4.92</v>
      </c>
    </row>
    <row r="430" spans="2:12" ht="18" customHeight="1">
      <c r="B430" s="85"/>
      <c r="C430" s="126"/>
      <c r="D430" s="90"/>
      <c r="E430" s="98" t="s">
        <v>542</v>
      </c>
      <c r="F430" s="88"/>
      <c r="G430" s="88"/>
      <c r="H430" s="88"/>
      <c r="I430" s="88">
        <v>4.8</v>
      </c>
      <c r="J430" s="102"/>
      <c r="K430" s="102"/>
      <c r="L430" s="142">
        <f t="shared" si="19"/>
        <v>4.8</v>
      </c>
    </row>
    <row r="431" spans="2:12" ht="18" customHeight="1">
      <c r="B431" s="85"/>
      <c r="C431" s="126"/>
      <c r="D431" s="90"/>
      <c r="E431" s="98" t="s">
        <v>543</v>
      </c>
      <c r="F431" s="88"/>
      <c r="G431" s="88"/>
      <c r="H431" s="88"/>
      <c r="I431" s="88">
        <v>14.91</v>
      </c>
      <c r="J431" s="102"/>
      <c r="K431" s="140"/>
      <c r="L431" s="142">
        <f t="shared" si="19"/>
        <v>14.91</v>
      </c>
    </row>
    <row r="432" spans="2:12" ht="18" customHeight="1">
      <c r="B432" s="85"/>
      <c r="C432" s="126"/>
      <c r="D432" s="90"/>
      <c r="E432" s="98" t="s">
        <v>92</v>
      </c>
      <c r="F432" s="88"/>
      <c r="G432" s="88"/>
      <c r="H432" s="88"/>
      <c r="I432" s="88">
        <v>11.34</v>
      </c>
      <c r="J432" s="102"/>
      <c r="K432" s="102"/>
      <c r="L432" s="142">
        <f t="shared" si="19"/>
        <v>11.34</v>
      </c>
    </row>
    <row r="433" spans="2:12" ht="18" customHeight="1">
      <c r="B433" s="85"/>
      <c r="C433" s="126"/>
      <c r="D433" s="90"/>
      <c r="E433" s="98" t="s">
        <v>544</v>
      </c>
      <c r="F433" s="88"/>
      <c r="G433" s="88"/>
      <c r="H433" s="88"/>
      <c r="I433" s="88">
        <v>3.79</v>
      </c>
      <c r="J433" s="102"/>
      <c r="K433" s="102"/>
      <c r="L433" s="142">
        <f t="shared" si="19"/>
        <v>3.79</v>
      </c>
    </row>
    <row r="434" spans="2:12" ht="18" customHeight="1">
      <c r="B434" s="85"/>
      <c r="C434" s="126"/>
      <c r="D434" s="90"/>
      <c r="E434" s="98" t="s">
        <v>545</v>
      </c>
      <c r="F434" s="88"/>
      <c r="G434" s="88"/>
      <c r="H434" s="88"/>
      <c r="I434" s="88">
        <v>2.65</v>
      </c>
      <c r="J434" s="102"/>
      <c r="K434" s="102"/>
      <c r="L434" s="142">
        <f t="shared" si="19"/>
        <v>2.65</v>
      </c>
    </row>
    <row r="435" spans="2:12" ht="18" customHeight="1">
      <c r="B435" s="85"/>
      <c r="C435" s="126"/>
      <c r="D435" s="90"/>
      <c r="E435" s="98" t="s">
        <v>545</v>
      </c>
      <c r="F435" s="88"/>
      <c r="G435" s="88"/>
      <c r="H435" s="88"/>
      <c r="I435" s="88">
        <v>2.53</v>
      </c>
      <c r="J435" s="102"/>
      <c r="K435" s="102"/>
      <c r="L435" s="142">
        <f t="shared" si="19"/>
        <v>2.53</v>
      </c>
    </row>
    <row r="436" spans="2:12" ht="18" customHeight="1">
      <c r="B436" s="85"/>
      <c r="C436" s="126"/>
      <c r="D436" s="90"/>
      <c r="E436" s="98" t="s">
        <v>82</v>
      </c>
      <c r="F436" s="88"/>
      <c r="G436" s="88"/>
      <c r="H436" s="88"/>
      <c r="I436" s="88">
        <v>4.7</v>
      </c>
      <c r="J436" s="102"/>
      <c r="K436" s="102"/>
      <c r="L436" s="142">
        <f t="shared" si="19"/>
        <v>4.7</v>
      </c>
    </row>
    <row r="437" spans="2:12" ht="18" customHeight="1">
      <c r="B437" s="85"/>
      <c r="C437" s="126"/>
      <c r="D437" s="90"/>
      <c r="E437" s="94"/>
      <c r="F437" s="94"/>
      <c r="G437" s="94"/>
      <c r="H437" s="94"/>
      <c r="I437" s="94"/>
      <c r="J437" s="94"/>
      <c r="K437" s="94"/>
      <c r="L437" s="97">
        <f>SUM(L415:L436)</f>
        <v>253.16999999999996</v>
      </c>
    </row>
    <row r="438" spans="2:12" ht="36">
      <c r="B438" s="108" t="str">
        <f>Orçamento!B212</f>
        <v>15.6</v>
      </c>
      <c r="C438" s="109" t="str">
        <f>Orçamento!C212</f>
        <v>Aplicação manual de pintura com tinta látex PVA em teto, duas demãos</v>
      </c>
      <c r="D438" s="82" t="s">
        <v>38</v>
      </c>
      <c r="E438" s="81"/>
      <c r="F438" s="81"/>
      <c r="G438" s="81"/>
      <c r="H438" s="81"/>
      <c r="I438" s="81"/>
      <c r="J438" s="81"/>
      <c r="K438" s="81"/>
      <c r="L438" s="84"/>
    </row>
    <row r="439" spans="2:12" ht="18" customHeight="1">
      <c r="B439" s="85"/>
      <c r="C439" s="126"/>
      <c r="D439" s="90"/>
      <c r="E439" s="98" t="s">
        <v>546</v>
      </c>
      <c r="F439" s="88"/>
      <c r="G439" s="88"/>
      <c r="H439" s="88"/>
      <c r="I439" s="88">
        <f>11.08+31.19+29.93</f>
        <v>72.2</v>
      </c>
      <c r="J439" s="102"/>
      <c r="K439" s="102"/>
      <c r="L439" s="142">
        <f aca="true" t="shared" si="20" ref="L439:L460">I439</f>
        <v>72.2</v>
      </c>
    </row>
    <row r="440" spans="2:12" ht="18" customHeight="1">
      <c r="B440" s="85"/>
      <c r="C440" s="126"/>
      <c r="D440" s="90"/>
      <c r="E440" s="98" t="s">
        <v>534</v>
      </c>
      <c r="F440" s="88"/>
      <c r="G440" s="88"/>
      <c r="H440" s="88"/>
      <c r="I440" s="88">
        <v>18.73</v>
      </c>
      <c r="J440" s="102"/>
      <c r="K440" s="102"/>
      <c r="L440" s="142">
        <f t="shared" si="20"/>
        <v>18.73</v>
      </c>
    </row>
    <row r="441" spans="2:12" ht="18" customHeight="1">
      <c r="B441" s="85"/>
      <c r="C441" s="126"/>
      <c r="D441" s="90"/>
      <c r="E441" s="102" t="s">
        <v>91</v>
      </c>
      <c r="F441" s="88"/>
      <c r="G441" s="88"/>
      <c r="H441" s="88"/>
      <c r="I441" s="143">
        <v>4.78</v>
      </c>
      <c r="J441" s="102"/>
      <c r="K441" s="102"/>
      <c r="L441" s="142">
        <f t="shared" si="20"/>
        <v>4.78</v>
      </c>
    </row>
    <row r="442" spans="2:12" ht="18" customHeight="1">
      <c r="B442" s="85"/>
      <c r="C442" s="126"/>
      <c r="D442" s="90"/>
      <c r="E442" s="98" t="s">
        <v>556</v>
      </c>
      <c r="F442" s="88"/>
      <c r="G442" s="88"/>
      <c r="H442" s="88"/>
      <c r="I442" s="143">
        <f>5.95+2.75</f>
        <v>8.7</v>
      </c>
      <c r="J442" s="102"/>
      <c r="K442" s="102"/>
      <c r="L442" s="142">
        <f t="shared" si="20"/>
        <v>8.7</v>
      </c>
    </row>
    <row r="443" spans="2:12" ht="18" customHeight="1">
      <c r="B443" s="85"/>
      <c r="C443" s="126"/>
      <c r="D443" s="90"/>
      <c r="E443" s="98" t="s">
        <v>547</v>
      </c>
      <c r="F443" s="88"/>
      <c r="G443" s="88"/>
      <c r="H443" s="88"/>
      <c r="I443" s="88">
        <v>14.73</v>
      </c>
      <c r="J443" s="102"/>
      <c r="K443" s="102"/>
      <c r="L443" s="142">
        <f t="shared" si="20"/>
        <v>14.73</v>
      </c>
    </row>
    <row r="444" spans="2:12" ht="18" customHeight="1">
      <c r="B444" s="85"/>
      <c r="C444" s="126"/>
      <c r="D444" s="90"/>
      <c r="E444" s="98" t="s">
        <v>535</v>
      </c>
      <c r="F444" s="88"/>
      <c r="G444" s="88"/>
      <c r="H444" s="88"/>
      <c r="I444" s="88">
        <v>4.8</v>
      </c>
      <c r="J444" s="102"/>
      <c r="K444" s="102"/>
      <c r="L444" s="142">
        <f t="shared" si="20"/>
        <v>4.8</v>
      </c>
    </row>
    <row r="445" spans="2:12" ht="18" customHeight="1">
      <c r="B445" s="85"/>
      <c r="C445" s="126"/>
      <c r="D445" s="90"/>
      <c r="E445" s="98" t="s">
        <v>536</v>
      </c>
      <c r="F445" s="88"/>
      <c r="G445" s="88"/>
      <c r="H445" s="88"/>
      <c r="I445" s="88">
        <v>4.8</v>
      </c>
      <c r="J445" s="102"/>
      <c r="K445" s="102"/>
      <c r="L445" s="142">
        <f t="shared" si="20"/>
        <v>4.8</v>
      </c>
    </row>
    <row r="446" spans="2:12" ht="18" customHeight="1">
      <c r="B446" s="85"/>
      <c r="C446" s="126"/>
      <c r="D446" s="90"/>
      <c r="E446" s="98" t="s">
        <v>537</v>
      </c>
      <c r="F446" s="88"/>
      <c r="G446" s="88"/>
      <c r="H446" s="88"/>
      <c r="I446" s="88">
        <v>19.3</v>
      </c>
      <c r="J446" s="102"/>
      <c r="K446" s="102"/>
      <c r="L446" s="142">
        <f t="shared" si="20"/>
        <v>19.3</v>
      </c>
    </row>
    <row r="447" spans="2:12" ht="18" customHeight="1">
      <c r="B447" s="85"/>
      <c r="C447" s="126"/>
      <c r="D447" s="90"/>
      <c r="E447" s="98" t="s">
        <v>60</v>
      </c>
      <c r="F447" s="88"/>
      <c r="G447" s="88"/>
      <c r="H447" s="88"/>
      <c r="I447" s="88">
        <v>6.23</v>
      </c>
      <c r="J447" s="102"/>
      <c r="K447" s="102"/>
      <c r="L447" s="142">
        <f t="shared" si="20"/>
        <v>6.23</v>
      </c>
    </row>
    <row r="448" spans="2:12" ht="18" customHeight="1">
      <c r="B448" s="85"/>
      <c r="C448" s="126"/>
      <c r="D448" s="90"/>
      <c r="E448" s="98" t="s">
        <v>90</v>
      </c>
      <c r="F448" s="88"/>
      <c r="G448" s="88"/>
      <c r="H448" s="88"/>
      <c r="I448" s="88">
        <v>11.97</v>
      </c>
      <c r="J448" s="102"/>
      <c r="K448" s="102"/>
      <c r="L448" s="142">
        <f t="shared" si="20"/>
        <v>11.97</v>
      </c>
    </row>
    <row r="449" spans="2:12" ht="18" customHeight="1">
      <c r="B449" s="85"/>
      <c r="C449" s="126"/>
      <c r="D449" s="90"/>
      <c r="E449" s="98" t="s">
        <v>89</v>
      </c>
      <c r="F449" s="88"/>
      <c r="G449" s="88"/>
      <c r="H449" s="88"/>
      <c r="I449" s="88">
        <v>2.63</v>
      </c>
      <c r="J449" s="102"/>
      <c r="K449" s="102"/>
      <c r="L449" s="142">
        <f t="shared" si="20"/>
        <v>2.63</v>
      </c>
    </row>
    <row r="450" spans="2:12" ht="18" customHeight="1">
      <c r="B450" s="85"/>
      <c r="C450" s="126"/>
      <c r="D450" s="90"/>
      <c r="E450" s="98" t="s">
        <v>538</v>
      </c>
      <c r="F450" s="88"/>
      <c r="G450" s="88"/>
      <c r="H450" s="88"/>
      <c r="I450" s="88">
        <v>5.26</v>
      </c>
      <c r="J450" s="102"/>
      <c r="K450" s="102"/>
      <c r="L450" s="142">
        <f t="shared" si="20"/>
        <v>5.26</v>
      </c>
    </row>
    <row r="451" spans="2:12" ht="18" customHeight="1">
      <c r="B451" s="85"/>
      <c r="C451" s="126"/>
      <c r="D451" s="90"/>
      <c r="E451" s="190" t="s">
        <v>539</v>
      </c>
      <c r="F451" s="88"/>
      <c r="G451" s="88"/>
      <c r="H451" s="88"/>
      <c r="I451" s="88">
        <v>14.7</v>
      </c>
      <c r="J451" s="102"/>
      <c r="K451" s="102"/>
      <c r="L451" s="142">
        <f t="shared" si="20"/>
        <v>14.7</v>
      </c>
    </row>
    <row r="452" spans="2:12" ht="18" customHeight="1">
      <c r="B452" s="85"/>
      <c r="C452" s="126"/>
      <c r="D452" s="90"/>
      <c r="E452" s="98" t="s">
        <v>540</v>
      </c>
      <c r="F452" s="88"/>
      <c r="G452" s="88"/>
      <c r="H452" s="88"/>
      <c r="I452" s="88">
        <v>14.7</v>
      </c>
      <c r="J452" s="102"/>
      <c r="K452" s="102"/>
      <c r="L452" s="142">
        <f t="shared" si="20"/>
        <v>14.7</v>
      </c>
    </row>
    <row r="453" spans="2:12" ht="18" customHeight="1">
      <c r="B453" s="85"/>
      <c r="C453" s="126"/>
      <c r="D453" s="90"/>
      <c r="E453" s="98" t="s">
        <v>541</v>
      </c>
      <c r="F453" s="88"/>
      <c r="G453" s="88"/>
      <c r="H453" s="88"/>
      <c r="I453" s="88">
        <v>4.92</v>
      </c>
      <c r="J453" s="102"/>
      <c r="K453" s="140"/>
      <c r="L453" s="142">
        <f t="shared" si="20"/>
        <v>4.92</v>
      </c>
    </row>
    <row r="454" spans="2:12" ht="18" customHeight="1">
      <c r="B454" s="85"/>
      <c r="C454" s="126"/>
      <c r="D454" s="90"/>
      <c r="E454" s="98" t="s">
        <v>542</v>
      </c>
      <c r="F454" s="88"/>
      <c r="G454" s="88"/>
      <c r="H454" s="88"/>
      <c r="I454" s="88">
        <v>4.8</v>
      </c>
      <c r="J454" s="102"/>
      <c r="K454" s="102"/>
      <c r="L454" s="142">
        <f t="shared" si="20"/>
        <v>4.8</v>
      </c>
    </row>
    <row r="455" spans="2:12" ht="18" customHeight="1">
      <c r="B455" s="85"/>
      <c r="C455" s="126"/>
      <c r="D455" s="90"/>
      <c r="E455" s="98" t="s">
        <v>543</v>
      </c>
      <c r="F455" s="88"/>
      <c r="G455" s="88"/>
      <c r="H455" s="88"/>
      <c r="I455" s="88">
        <v>14.91</v>
      </c>
      <c r="J455" s="102"/>
      <c r="K455" s="140"/>
      <c r="L455" s="142">
        <f t="shared" si="20"/>
        <v>14.91</v>
      </c>
    </row>
    <row r="456" spans="2:12" ht="18" customHeight="1">
      <c r="B456" s="85"/>
      <c r="C456" s="126"/>
      <c r="D456" s="90"/>
      <c r="E456" s="98" t="s">
        <v>92</v>
      </c>
      <c r="F456" s="88"/>
      <c r="G456" s="88"/>
      <c r="H456" s="88"/>
      <c r="I456" s="88">
        <v>11.34</v>
      </c>
      <c r="J456" s="102"/>
      <c r="K456" s="102"/>
      <c r="L456" s="142">
        <f t="shared" si="20"/>
        <v>11.34</v>
      </c>
    </row>
    <row r="457" spans="2:12" ht="18" customHeight="1">
      <c r="B457" s="85"/>
      <c r="C457" s="126"/>
      <c r="D457" s="90"/>
      <c r="E457" s="98" t="s">
        <v>544</v>
      </c>
      <c r="F457" s="88"/>
      <c r="G457" s="88"/>
      <c r="H457" s="88"/>
      <c r="I457" s="88">
        <v>3.79</v>
      </c>
      <c r="J457" s="102"/>
      <c r="K457" s="102"/>
      <c r="L457" s="142">
        <f t="shared" si="20"/>
        <v>3.79</v>
      </c>
    </row>
    <row r="458" spans="2:12" ht="18" customHeight="1">
      <c r="B458" s="85"/>
      <c r="C458" s="126"/>
      <c r="D458" s="90"/>
      <c r="E458" s="98" t="s">
        <v>545</v>
      </c>
      <c r="F458" s="88"/>
      <c r="G458" s="88"/>
      <c r="H458" s="88"/>
      <c r="I458" s="88">
        <v>2.65</v>
      </c>
      <c r="J458" s="102"/>
      <c r="K458" s="102"/>
      <c r="L458" s="142">
        <f t="shared" si="20"/>
        <v>2.65</v>
      </c>
    </row>
    <row r="459" spans="2:12" ht="18" customHeight="1">
      <c r="B459" s="85"/>
      <c r="C459" s="126"/>
      <c r="D459" s="90"/>
      <c r="E459" s="98" t="s">
        <v>545</v>
      </c>
      <c r="F459" s="88"/>
      <c r="G459" s="88"/>
      <c r="H459" s="88"/>
      <c r="I459" s="88">
        <v>2.53</v>
      </c>
      <c r="J459" s="102"/>
      <c r="K459" s="102"/>
      <c r="L459" s="142">
        <f t="shared" si="20"/>
        <v>2.53</v>
      </c>
    </row>
    <row r="460" spans="2:12" ht="18" customHeight="1">
      <c r="B460" s="85"/>
      <c r="C460" s="126"/>
      <c r="D460" s="90"/>
      <c r="E460" s="98" t="s">
        <v>82</v>
      </c>
      <c r="F460" s="88"/>
      <c r="G460" s="88"/>
      <c r="H460" s="88"/>
      <c r="I460" s="88">
        <v>4.7</v>
      </c>
      <c r="J460" s="102"/>
      <c r="K460" s="102"/>
      <c r="L460" s="142">
        <f t="shared" si="20"/>
        <v>4.7</v>
      </c>
    </row>
    <row r="461" spans="2:12" ht="18" customHeight="1">
      <c r="B461" s="91"/>
      <c r="C461" s="113"/>
      <c r="D461" s="96"/>
      <c r="E461" s="94"/>
      <c r="F461" s="94"/>
      <c r="G461" s="94"/>
      <c r="H461" s="94"/>
      <c r="I461" s="94"/>
      <c r="J461" s="94"/>
      <c r="K461" s="94"/>
      <c r="L461" s="97">
        <f>SUM(L439:L460)</f>
        <v>253.16999999999996</v>
      </c>
    </row>
    <row r="462" spans="2:12" ht="36">
      <c r="B462" s="108" t="str">
        <f>Orçamento!B213</f>
        <v>15.7</v>
      </c>
      <c r="C462" s="109" t="str">
        <f>Orçamento!C213</f>
        <v>Aplicação manual de pintura com tinta texturizada acrílica em paredes</v>
      </c>
      <c r="D462" s="82" t="s">
        <v>38</v>
      </c>
      <c r="E462" s="81"/>
      <c r="F462" s="81"/>
      <c r="G462" s="81"/>
      <c r="H462" s="81"/>
      <c r="I462" s="81"/>
      <c r="J462" s="81"/>
      <c r="K462" s="81"/>
      <c r="L462" s="84"/>
    </row>
    <row r="463" spans="2:12" ht="18" customHeight="1">
      <c r="B463" s="85"/>
      <c r="C463" s="126"/>
      <c r="D463" s="90"/>
      <c r="E463" s="144" t="s">
        <v>62</v>
      </c>
      <c r="F463" s="140"/>
      <c r="G463" s="102"/>
      <c r="H463" s="140"/>
      <c r="I463" s="140"/>
      <c r="J463" s="102"/>
      <c r="K463" s="88"/>
      <c r="L463" s="89"/>
    </row>
    <row r="464" spans="2:12" ht="18" customHeight="1">
      <c r="B464" s="85"/>
      <c r="C464" s="126"/>
      <c r="D464" s="90"/>
      <c r="E464" s="98" t="s">
        <v>100</v>
      </c>
      <c r="F464" s="88">
        <f>68.4-10.05</f>
        <v>58.35000000000001</v>
      </c>
      <c r="G464" s="88"/>
      <c r="H464" s="88">
        <v>4.97</v>
      </c>
      <c r="I464" s="140">
        <f>F464*H464</f>
        <v>289.9995</v>
      </c>
      <c r="J464" s="102"/>
      <c r="K464" s="88"/>
      <c r="L464" s="89">
        <f aca="true" t="shared" si="21" ref="L464:L472">I464</f>
        <v>289.9995</v>
      </c>
    </row>
    <row r="465" spans="2:12" ht="18" customHeight="1">
      <c r="B465" s="85"/>
      <c r="C465" s="126"/>
      <c r="D465" s="90"/>
      <c r="E465" s="98" t="s">
        <v>548</v>
      </c>
      <c r="F465" s="88">
        <v>6.7</v>
      </c>
      <c r="G465" s="88"/>
      <c r="H465" s="88">
        <v>5.91</v>
      </c>
      <c r="I465" s="140">
        <f>F465*H465</f>
        <v>39.597</v>
      </c>
      <c r="J465" s="102"/>
      <c r="K465" s="88"/>
      <c r="L465" s="89">
        <f t="shared" si="21"/>
        <v>39.597</v>
      </c>
    </row>
    <row r="466" spans="2:12" ht="18" customHeight="1">
      <c r="B466" s="85"/>
      <c r="C466" s="126"/>
      <c r="D466" s="90"/>
      <c r="E466" s="98" t="s">
        <v>548</v>
      </c>
      <c r="F466" s="88">
        <v>4.9</v>
      </c>
      <c r="G466" s="88"/>
      <c r="H466" s="88">
        <v>0.7</v>
      </c>
      <c r="I466" s="140">
        <f>F466*H466</f>
        <v>3.43</v>
      </c>
      <c r="J466" s="102"/>
      <c r="K466" s="88"/>
      <c r="L466" s="89">
        <f t="shared" si="21"/>
        <v>3.43</v>
      </c>
    </row>
    <row r="467" spans="2:12" ht="18" customHeight="1">
      <c r="B467" s="85"/>
      <c r="C467" s="126"/>
      <c r="D467" s="90"/>
      <c r="E467" s="102" t="s">
        <v>549</v>
      </c>
      <c r="F467" s="140">
        <v>7.65</v>
      </c>
      <c r="G467" s="102"/>
      <c r="H467" s="140">
        <v>2.55</v>
      </c>
      <c r="I467" s="140">
        <f>F467*H467</f>
        <v>19.5075</v>
      </c>
      <c r="J467" s="102"/>
      <c r="K467" s="88"/>
      <c r="L467" s="89">
        <f t="shared" si="21"/>
        <v>19.5075</v>
      </c>
    </row>
    <row r="468" spans="2:12" ht="18" customHeight="1">
      <c r="B468" s="85"/>
      <c r="C468" s="126"/>
      <c r="D468" s="90"/>
      <c r="E468" s="102" t="s">
        <v>550</v>
      </c>
      <c r="F468" s="140">
        <v>10.9</v>
      </c>
      <c r="G468" s="102"/>
      <c r="H468" s="140">
        <v>2.55</v>
      </c>
      <c r="I468" s="140">
        <f aca="true" t="shared" si="22" ref="I468:I473">F468*H468</f>
        <v>27.794999999999998</v>
      </c>
      <c r="J468" s="102"/>
      <c r="K468" s="88"/>
      <c r="L468" s="89">
        <f t="shared" si="21"/>
        <v>27.794999999999998</v>
      </c>
    </row>
    <row r="469" spans="2:12" ht="18" customHeight="1">
      <c r="B469" s="85"/>
      <c r="C469" s="126"/>
      <c r="D469" s="90"/>
      <c r="E469" s="102" t="s">
        <v>551</v>
      </c>
      <c r="F469" s="140">
        <v>9.45</v>
      </c>
      <c r="G469" s="102"/>
      <c r="H469" s="140">
        <v>2.55</v>
      </c>
      <c r="I469" s="140">
        <f t="shared" si="22"/>
        <v>24.097499999999997</v>
      </c>
      <c r="J469" s="102"/>
      <c r="K469" s="88"/>
      <c r="L469" s="89">
        <f t="shared" si="21"/>
        <v>24.097499999999997</v>
      </c>
    </row>
    <row r="470" spans="2:12" ht="18" customHeight="1">
      <c r="B470" s="85"/>
      <c r="C470" s="126"/>
      <c r="D470" s="90"/>
      <c r="E470" s="102" t="s">
        <v>552</v>
      </c>
      <c r="F470" s="140">
        <v>10.1</v>
      </c>
      <c r="G470" s="102"/>
      <c r="H470" s="140">
        <v>2.55</v>
      </c>
      <c r="I470" s="140">
        <f t="shared" si="22"/>
        <v>25.755</v>
      </c>
      <c r="J470" s="102"/>
      <c r="K470" s="88"/>
      <c r="L470" s="89">
        <f t="shared" si="21"/>
        <v>25.755</v>
      </c>
    </row>
    <row r="471" spans="2:12" ht="18" customHeight="1">
      <c r="B471" s="85"/>
      <c r="C471" s="126"/>
      <c r="D471" s="90"/>
      <c r="E471" s="102" t="s">
        <v>553</v>
      </c>
      <c r="F471" s="140">
        <v>9.5</v>
      </c>
      <c r="G471" s="102"/>
      <c r="H471" s="140">
        <v>2.55</v>
      </c>
      <c r="I471" s="140">
        <f t="shared" si="22"/>
        <v>24.224999999999998</v>
      </c>
      <c r="J471" s="102"/>
      <c r="K471" s="88"/>
      <c r="L471" s="89">
        <f t="shared" si="21"/>
        <v>24.224999999999998</v>
      </c>
    </row>
    <row r="472" spans="2:12" ht="18" customHeight="1">
      <c r="B472" s="85"/>
      <c r="C472" s="126"/>
      <c r="D472" s="90"/>
      <c r="E472" s="102" t="s">
        <v>554</v>
      </c>
      <c r="F472" s="140">
        <v>9.1</v>
      </c>
      <c r="G472" s="102"/>
      <c r="H472" s="140">
        <v>2.55</v>
      </c>
      <c r="I472" s="140">
        <f t="shared" si="22"/>
        <v>23.205</v>
      </c>
      <c r="J472" s="102"/>
      <c r="K472" s="88"/>
      <c r="L472" s="89">
        <f t="shared" si="21"/>
        <v>23.205</v>
      </c>
    </row>
    <row r="473" spans="2:12" ht="18" customHeight="1">
      <c r="B473" s="85"/>
      <c r="C473" s="126"/>
      <c r="D473" s="90"/>
      <c r="E473" s="102" t="s">
        <v>555</v>
      </c>
      <c r="F473" s="140">
        <f>37.2-15.8</f>
        <v>21.400000000000002</v>
      </c>
      <c r="G473" s="102"/>
      <c r="H473" s="140">
        <v>2.7</v>
      </c>
      <c r="I473" s="140">
        <f t="shared" si="22"/>
        <v>57.78000000000001</v>
      </c>
      <c r="J473" s="102"/>
      <c r="K473" s="88"/>
      <c r="L473" s="89">
        <f>I473+7*0.79</f>
        <v>63.31000000000001</v>
      </c>
    </row>
    <row r="474" spans="2:12" ht="18" customHeight="1">
      <c r="B474" s="85"/>
      <c r="C474" s="126"/>
      <c r="D474" s="90"/>
      <c r="E474" s="102" t="s">
        <v>856</v>
      </c>
      <c r="F474" s="140">
        <v>30.25</v>
      </c>
      <c r="G474" s="140">
        <v>0.15</v>
      </c>
      <c r="H474" s="140">
        <v>0.6</v>
      </c>
      <c r="I474" s="140">
        <f>F474*G474+F474*H474*2</f>
        <v>40.8375</v>
      </c>
      <c r="J474" s="102"/>
      <c r="K474" s="88"/>
      <c r="L474" s="89">
        <f>I474+7*0.79</f>
        <v>46.3675</v>
      </c>
    </row>
    <row r="475" spans="2:12" ht="18" customHeight="1">
      <c r="B475" s="85"/>
      <c r="C475" s="126"/>
      <c r="D475" s="90"/>
      <c r="E475" s="102" t="s">
        <v>857</v>
      </c>
      <c r="F475" s="140"/>
      <c r="G475" s="102"/>
      <c r="H475" s="140"/>
      <c r="I475" s="140">
        <v>1.57</v>
      </c>
      <c r="J475" s="102"/>
      <c r="K475" s="88">
        <v>2</v>
      </c>
      <c r="L475" s="89">
        <f>I475*K475</f>
        <v>3.14</v>
      </c>
    </row>
    <row r="476" spans="2:12" ht="18" customHeight="1">
      <c r="B476" s="85"/>
      <c r="C476" s="126"/>
      <c r="D476" s="90"/>
      <c r="E476" s="102"/>
      <c r="F476" s="102"/>
      <c r="G476" s="102"/>
      <c r="H476" s="102"/>
      <c r="I476" s="102"/>
      <c r="J476" s="102"/>
      <c r="K476" s="102"/>
      <c r="L476" s="99">
        <f>SUM(L464:L475)-86.82</f>
        <v>503.609</v>
      </c>
    </row>
    <row r="477" spans="2:12" ht="18" customHeight="1">
      <c r="B477" s="108" t="str">
        <f>Orçamento!B214</f>
        <v>15.8</v>
      </c>
      <c r="C477" s="109" t="str">
        <f>Orçamento!C214</f>
        <v>Pintura esmalte sintético para madeira, duas demãos, sobre fundo branco</v>
      </c>
      <c r="D477" s="82"/>
      <c r="E477" s="81"/>
      <c r="F477" s="81"/>
      <c r="G477" s="81"/>
      <c r="H477" s="81"/>
      <c r="I477" s="81"/>
      <c r="J477" s="81"/>
      <c r="K477" s="81"/>
      <c r="L477" s="84"/>
    </row>
    <row r="478" spans="2:12" ht="18" customHeight="1">
      <c r="B478" s="85"/>
      <c r="C478" s="126"/>
      <c r="D478" s="90"/>
      <c r="E478" s="126" t="s">
        <v>826</v>
      </c>
      <c r="F478" s="131"/>
      <c r="G478" s="88">
        <v>0.6</v>
      </c>
      <c r="H478" s="88">
        <f>2.1-0.85</f>
        <v>1.25</v>
      </c>
      <c r="I478" s="140">
        <f>G478*H478*2</f>
        <v>1.5</v>
      </c>
      <c r="J478" s="131"/>
      <c r="K478" s="88">
        <v>2</v>
      </c>
      <c r="L478" s="89">
        <f aca="true" t="shared" si="23" ref="L478:L484">I478*K478</f>
        <v>3</v>
      </c>
    </row>
    <row r="479" spans="2:12" ht="18" customHeight="1">
      <c r="B479" s="85"/>
      <c r="C479" s="126"/>
      <c r="D479" s="90"/>
      <c r="E479" s="126" t="s">
        <v>827</v>
      </c>
      <c r="F479" s="131"/>
      <c r="G479" s="88">
        <v>0.7</v>
      </c>
      <c r="H479" s="88">
        <f>2.1-0.85</f>
        <v>1.25</v>
      </c>
      <c r="I479" s="140">
        <f>G479*H479*2</f>
        <v>1.75</v>
      </c>
      <c r="J479" s="131"/>
      <c r="K479" s="88">
        <v>2</v>
      </c>
      <c r="L479" s="89">
        <f t="shared" si="23"/>
        <v>3.5</v>
      </c>
    </row>
    <row r="480" spans="2:12" ht="18" customHeight="1">
      <c r="B480" s="85"/>
      <c r="C480" s="126"/>
      <c r="D480" s="90"/>
      <c r="E480" s="126" t="s">
        <v>828</v>
      </c>
      <c r="F480" s="131"/>
      <c r="G480" s="88">
        <v>0.8</v>
      </c>
      <c r="H480" s="88">
        <f>2.1-0.85</f>
        <v>1.25</v>
      </c>
      <c r="I480" s="140">
        <f>G480*H480*2</f>
        <v>2</v>
      </c>
      <c r="J480" s="131"/>
      <c r="K480" s="88">
        <v>7</v>
      </c>
      <c r="L480" s="89">
        <f t="shared" si="23"/>
        <v>14</v>
      </c>
    </row>
    <row r="481" spans="2:12" ht="18" customHeight="1">
      <c r="B481" s="85"/>
      <c r="C481" s="126"/>
      <c r="D481" s="90"/>
      <c r="E481" s="126" t="s">
        <v>829</v>
      </c>
      <c r="F481" s="131"/>
      <c r="G481" s="131"/>
      <c r="H481" s="131"/>
      <c r="I481" s="140">
        <v>9.13</v>
      </c>
      <c r="J481" s="131"/>
      <c r="K481" s="88">
        <v>2</v>
      </c>
      <c r="L481" s="89">
        <f t="shared" si="23"/>
        <v>18.26</v>
      </c>
    </row>
    <row r="482" spans="2:12" ht="18" customHeight="1">
      <c r="B482" s="85"/>
      <c r="C482" s="126"/>
      <c r="D482" s="90"/>
      <c r="E482" s="126" t="s">
        <v>853</v>
      </c>
      <c r="F482" s="88">
        <f>2.1*2+0.6</f>
        <v>4.8</v>
      </c>
      <c r="G482" s="88">
        <v>0.2</v>
      </c>
      <c r="H482" s="131"/>
      <c r="I482" s="140">
        <f>F482*G482</f>
        <v>0.96</v>
      </c>
      <c r="J482" s="131"/>
      <c r="K482" s="88">
        <v>2</v>
      </c>
      <c r="L482" s="89">
        <f t="shared" si="23"/>
        <v>1.92</v>
      </c>
    </row>
    <row r="483" spans="2:12" ht="18" customHeight="1">
      <c r="B483" s="85"/>
      <c r="C483" s="126"/>
      <c r="D483" s="90"/>
      <c r="E483" s="126" t="s">
        <v>854</v>
      </c>
      <c r="F483" s="88">
        <f>2.1*2+0.7</f>
        <v>4.9</v>
      </c>
      <c r="G483" s="88">
        <v>0.2</v>
      </c>
      <c r="H483" s="131"/>
      <c r="I483" s="140">
        <f>F483*G483</f>
        <v>0.9800000000000001</v>
      </c>
      <c r="J483" s="131"/>
      <c r="K483" s="88">
        <v>2</v>
      </c>
      <c r="L483" s="89">
        <f t="shared" si="23"/>
        <v>1.9600000000000002</v>
      </c>
    </row>
    <row r="484" spans="2:12" ht="18" customHeight="1">
      <c r="B484" s="85"/>
      <c r="C484" s="126"/>
      <c r="D484" s="90"/>
      <c r="E484" s="126" t="s">
        <v>855</v>
      </c>
      <c r="F484" s="88">
        <f>2.1*2+0.8</f>
        <v>5</v>
      </c>
      <c r="G484" s="88">
        <v>0.2</v>
      </c>
      <c r="H484" s="131"/>
      <c r="I484" s="140">
        <f>F484*G484</f>
        <v>1</v>
      </c>
      <c r="J484" s="131"/>
      <c r="K484" s="88">
        <v>7</v>
      </c>
      <c r="L484" s="89">
        <f t="shared" si="23"/>
        <v>7</v>
      </c>
    </row>
    <row r="485" spans="2:12" ht="18" customHeight="1">
      <c r="B485" s="91"/>
      <c r="C485" s="113"/>
      <c r="D485" s="96"/>
      <c r="E485" s="125"/>
      <c r="F485" s="114"/>
      <c r="G485" s="114"/>
      <c r="H485" s="114"/>
      <c r="I485" s="114"/>
      <c r="J485" s="114"/>
      <c r="K485" s="114"/>
      <c r="L485" s="97">
        <f>SUM(L478:L484)</f>
        <v>49.64000000000001</v>
      </c>
    </row>
    <row r="486" spans="2:12" ht="18" customHeight="1">
      <c r="B486" s="374" t="str">
        <f>Orçamento!B251</f>
        <v>18.00</v>
      </c>
      <c r="C486" s="75" t="str">
        <f>Orçamento!C251</f>
        <v>URBANIZAÇÃO</v>
      </c>
      <c r="D486" s="75"/>
      <c r="E486" s="76"/>
      <c r="F486" s="77"/>
      <c r="G486" s="77"/>
      <c r="H486" s="77"/>
      <c r="I486" s="77"/>
      <c r="J486" s="77"/>
      <c r="K486" s="77"/>
      <c r="L486" s="78"/>
    </row>
    <row r="487" spans="2:12" ht="54">
      <c r="B487" s="108" t="str">
        <f>Orçamento!B252</f>
        <v>18.1</v>
      </c>
      <c r="C487" s="109" t="str">
        <f>Orçamento!C252</f>
        <v>Cochão de areia para pavimentação em paralelepípedo ou blocos de concreto intertravados</v>
      </c>
      <c r="D487" s="82" t="s">
        <v>739</v>
      </c>
      <c r="E487" s="414"/>
      <c r="F487" s="83"/>
      <c r="G487" s="83"/>
      <c r="H487" s="83"/>
      <c r="I487" s="83"/>
      <c r="J487" s="83"/>
      <c r="K487" s="83"/>
      <c r="L487" s="84"/>
    </row>
    <row r="488" spans="2:12" ht="18" customHeight="1">
      <c r="B488" s="85"/>
      <c r="C488" s="126"/>
      <c r="D488" s="90"/>
      <c r="E488" s="129" t="s">
        <v>757</v>
      </c>
      <c r="F488" s="88"/>
      <c r="G488" s="88"/>
      <c r="H488" s="88">
        <v>0.2</v>
      </c>
      <c r="I488" s="88">
        <v>15.26</v>
      </c>
      <c r="J488" s="88">
        <f>H488*I488</f>
        <v>3.052</v>
      </c>
      <c r="K488" s="88"/>
      <c r="L488" s="89">
        <f>J488</f>
        <v>3.052</v>
      </c>
    </row>
    <row r="489" spans="2:12" ht="18" customHeight="1">
      <c r="B489" s="91"/>
      <c r="C489" s="113"/>
      <c r="D489" s="96"/>
      <c r="E489" s="380"/>
      <c r="F489" s="95"/>
      <c r="G489" s="95"/>
      <c r="H489" s="95"/>
      <c r="I489" s="95"/>
      <c r="J489" s="95"/>
      <c r="K489" s="95"/>
      <c r="L489" s="97">
        <f>SUM(L488)</f>
        <v>3.052</v>
      </c>
    </row>
    <row r="490" spans="2:12" ht="18" customHeight="1">
      <c r="B490" s="130" t="str">
        <f>Orçamento!B253</f>
        <v>18.2</v>
      </c>
      <c r="C490" s="126" t="str">
        <f>Orçamento!C253</f>
        <v>Piso Intertravado Tipo Tijolinho (19,9X10X4)cm cinza</v>
      </c>
      <c r="D490" s="90" t="s">
        <v>38</v>
      </c>
      <c r="E490" s="129"/>
      <c r="F490" s="88"/>
      <c r="G490" s="88"/>
      <c r="H490" s="88"/>
      <c r="I490" s="88"/>
      <c r="J490" s="88"/>
      <c r="K490" s="88"/>
      <c r="L490" s="99"/>
    </row>
    <row r="491" spans="2:12" ht="18" customHeight="1">
      <c r="B491" s="85"/>
      <c r="C491" s="126"/>
      <c r="D491" s="90"/>
      <c r="E491" s="129" t="s">
        <v>757</v>
      </c>
      <c r="F491" s="88"/>
      <c r="G491" s="88"/>
      <c r="H491" s="88"/>
      <c r="I491" s="88">
        <v>15.26</v>
      </c>
      <c r="J491" s="88"/>
      <c r="K491" s="88"/>
      <c r="L491" s="89">
        <f>I491</f>
        <v>15.26</v>
      </c>
    </row>
    <row r="492" spans="2:12" ht="18" customHeight="1">
      <c r="B492" s="91"/>
      <c r="C492" s="113"/>
      <c r="D492" s="96"/>
      <c r="E492" s="380"/>
      <c r="F492" s="95"/>
      <c r="G492" s="95"/>
      <c r="H492" s="95"/>
      <c r="I492" s="95"/>
      <c r="J492" s="95"/>
      <c r="K492" s="95"/>
      <c r="L492" s="97">
        <f>SUM(L491)</f>
        <v>15.26</v>
      </c>
    </row>
    <row r="493" spans="2:12" ht="18" customHeight="1">
      <c r="B493" s="108" t="str">
        <f>Orçamento!B254</f>
        <v>18.3</v>
      </c>
      <c r="C493" s="109" t="str">
        <f>Orçamento!C254</f>
        <v>Plantio de Grama</v>
      </c>
      <c r="D493" s="189" t="s">
        <v>38</v>
      </c>
      <c r="E493" s="100"/>
      <c r="F493" s="83"/>
      <c r="G493" s="83"/>
      <c r="H493" s="83"/>
      <c r="I493" s="392"/>
      <c r="J493" s="622"/>
      <c r="K493" s="622"/>
      <c r="L493" s="84"/>
    </row>
    <row r="494" spans="2:12" ht="18" customHeight="1">
      <c r="B494" s="293"/>
      <c r="C494" s="184"/>
      <c r="D494" s="184"/>
      <c r="E494" s="98" t="s">
        <v>757</v>
      </c>
      <c r="F494" s="88"/>
      <c r="G494" s="88"/>
      <c r="H494" s="88"/>
      <c r="I494" s="143">
        <v>86.76</v>
      </c>
      <c r="J494" s="184"/>
      <c r="K494" s="184"/>
      <c r="L494" s="89">
        <f>I494</f>
        <v>86.76</v>
      </c>
    </row>
    <row r="495" spans="2:12" ht="18" customHeight="1">
      <c r="B495" s="293"/>
      <c r="C495" s="184"/>
      <c r="D495" s="184"/>
      <c r="E495" s="98" t="s">
        <v>837</v>
      </c>
      <c r="F495" s="88">
        <v>2.4</v>
      </c>
      <c r="G495" s="88">
        <v>1.2</v>
      </c>
      <c r="H495" s="88"/>
      <c r="I495" s="143">
        <f>F495*G495</f>
        <v>2.88</v>
      </c>
      <c r="J495" s="184"/>
      <c r="K495" s="140">
        <v>3</v>
      </c>
      <c r="L495" s="89">
        <f>I495*K495</f>
        <v>8.64</v>
      </c>
    </row>
    <row r="496" spans="2:12" ht="18" customHeight="1">
      <c r="B496" s="293"/>
      <c r="C496" s="184"/>
      <c r="D496" s="184"/>
      <c r="E496" s="98" t="s">
        <v>838</v>
      </c>
      <c r="F496" s="88">
        <v>2.25</v>
      </c>
      <c r="G496" s="88">
        <v>1.2</v>
      </c>
      <c r="H496" s="88"/>
      <c r="I496" s="143">
        <f>F496*G496</f>
        <v>2.6999999999999997</v>
      </c>
      <c r="J496" s="184"/>
      <c r="K496" s="140">
        <v>3</v>
      </c>
      <c r="L496" s="89">
        <f>I496*K496</f>
        <v>8.1</v>
      </c>
    </row>
    <row r="497" spans="2:12" ht="18" customHeight="1">
      <c r="B497" s="393"/>
      <c r="C497" s="394"/>
      <c r="D497" s="394"/>
      <c r="E497" s="101"/>
      <c r="F497" s="95"/>
      <c r="G497" s="95"/>
      <c r="H497" s="95"/>
      <c r="I497" s="147"/>
      <c r="J497" s="394"/>
      <c r="K497" s="394"/>
      <c r="L497" s="97">
        <f>SUM(L494:L496)</f>
        <v>103.5</v>
      </c>
    </row>
    <row r="498" spans="2:12" ht="18" customHeight="1">
      <c r="B498" s="74" t="str">
        <f>Orçamento!B255</f>
        <v>19.00</v>
      </c>
      <c r="C498" s="75" t="str">
        <f>Orçamento!C255</f>
        <v>MARQUISE</v>
      </c>
      <c r="D498" s="75"/>
      <c r="E498" s="76"/>
      <c r="F498" s="77"/>
      <c r="G498" s="77"/>
      <c r="H498" s="77"/>
      <c r="I498" s="77"/>
      <c r="J498" s="77"/>
      <c r="K498" s="77"/>
      <c r="L498" s="78"/>
    </row>
    <row r="499" spans="2:12" ht="18">
      <c r="B499" s="108" t="str">
        <f>Orçamento!B256</f>
        <v>19.1</v>
      </c>
      <c r="C499" s="109" t="str">
        <f>Orçamento!C256</f>
        <v>Forro de PVC para a marquise</v>
      </c>
      <c r="D499" s="189" t="s">
        <v>38</v>
      </c>
      <c r="E499" s="81"/>
      <c r="F499" s="81"/>
      <c r="G499" s="81"/>
      <c r="H499" s="81"/>
      <c r="I499" s="81"/>
      <c r="J499" s="81"/>
      <c r="K499" s="81"/>
      <c r="L499" s="84"/>
    </row>
    <row r="500" spans="2:12" ht="18">
      <c r="B500" s="130"/>
      <c r="C500" s="126"/>
      <c r="D500" s="153"/>
      <c r="E500" s="102"/>
      <c r="F500" s="140">
        <v>2</v>
      </c>
      <c r="G500" s="143">
        <v>3.45</v>
      </c>
      <c r="H500" s="102"/>
      <c r="I500" s="140">
        <f>F500*G500</f>
        <v>6.9</v>
      </c>
      <c r="J500" s="102"/>
      <c r="K500" s="102"/>
      <c r="L500" s="89">
        <f>I500</f>
        <v>6.9</v>
      </c>
    </row>
    <row r="501" spans="2:12" ht="18">
      <c r="B501" s="130"/>
      <c r="C501" s="126"/>
      <c r="D501" s="153"/>
      <c r="E501" s="102"/>
      <c r="F501" s="60"/>
      <c r="G501" s="60"/>
      <c r="H501" s="60"/>
      <c r="I501" s="60"/>
      <c r="J501" s="102"/>
      <c r="K501" s="102"/>
      <c r="L501" s="99">
        <f>SUM(L500)</f>
        <v>6.9</v>
      </c>
    </row>
    <row r="502" spans="2:12" ht="72">
      <c r="B502" s="108" t="str">
        <f>Orçamento!B257</f>
        <v>19.2</v>
      </c>
      <c r="C502" s="109" t="str">
        <f>Orçamento!C257</f>
        <v>Telhamento com telha de alumínio dupla, trapezoidal, tipo sanduíche 0,6mm pré pintada em duas faces, com isolamento de espuma rígida de poliuretano 30mm pintada</v>
      </c>
      <c r="D502" s="189" t="s">
        <v>38</v>
      </c>
      <c r="E502" s="81"/>
      <c r="F502" s="81"/>
      <c r="G502" s="81"/>
      <c r="H502" s="81"/>
      <c r="I502" s="81"/>
      <c r="J502" s="81"/>
      <c r="K502" s="81"/>
      <c r="L502" s="84"/>
    </row>
    <row r="503" spans="2:12" ht="18">
      <c r="B503" s="130"/>
      <c r="C503" s="126"/>
      <c r="D503" s="153"/>
      <c r="E503" s="102"/>
      <c r="F503" s="140">
        <v>2</v>
      </c>
      <c r="G503" s="143">
        <v>3.45</v>
      </c>
      <c r="H503" s="102"/>
      <c r="I503" s="140">
        <f>F503*G503</f>
        <v>6.9</v>
      </c>
      <c r="J503" s="102"/>
      <c r="K503" s="102"/>
      <c r="L503" s="89">
        <f>I503</f>
        <v>6.9</v>
      </c>
    </row>
    <row r="504" spans="2:12" ht="18">
      <c r="B504" s="115"/>
      <c r="C504" s="113"/>
      <c r="D504" s="152"/>
      <c r="E504" s="94"/>
      <c r="F504" s="289"/>
      <c r="G504" s="289"/>
      <c r="H504" s="289"/>
      <c r="I504" s="289"/>
      <c r="J504" s="94"/>
      <c r="K504" s="94"/>
      <c r="L504" s="97">
        <f>SUM(L503)</f>
        <v>6.9</v>
      </c>
    </row>
    <row r="505" spans="2:12" ht="18">
      <c r="B505" s="130" t="str">
        <f>Orçamento!B258</f>
        <v>19.3</v>
      </c>
      <c r="C505" s="126" t="str">
        <f>Orçamento!C258</f>
        <v>Estrutura metálica p/ cobertura</v>
      </c>
      <c r="D505" s="153" t="s">
        <v>38</v>
      </c>
      <c r="E505" s="102"/>
      <c r="F505" s="102"/>
      <c r="G505" s="102"/>
      <c r="H505" s="102"/>
      <c r="I505" s="102"/>
      <c r="J505" s="102"/>
      <c r="K505" s="102"/>
      <c r="L505" s="99"/>
    </row>
    <row r="506" spans="2:12" ht="18">
      <c r="B506" s="130"/>
      <c r="C506" s="126"/>
      <c r="D506" s="153"/>
      <c r="E506" s="102"/>
      <c r="F506" s="140">
        <v>2</v>
      </c>
      <c r="G506" s="143">
        <v>3.45</v>
      </c>
      <c r="H506" s="102"/>
      <c r="I506" s="140">
        <f>F506*G506</f>
        <v>6.9</v>
      </c>
      <c r="J506" s="102"/>
      <c r="K506" s="102"/>
      <c r="L506" s="89">
        <f>I506</f>
        <v>6.9</v>
      </c>
    </row>
    <row r="507" spans="2:12" ht="18">
      <c r="B507" s="115"/>
      <c r="C507" s="113"/>
      <c r="D507" s="152"/>
      <c r="E507" s="94"/>
      <c r="F507" s="289"/>
      <c r="G507" s="289"/>
      <c r="H507" s="289"/>
      <c r="I507" s="289"/>
      <c r="J507" s="94"/>
      <c r="K507" s="94"/>
      <c r="L507" s="97">
        <f>SUM(L506)</f>
        <v>6.9</v>
      </c>
    </row>
    <row r="508" spans="2:12" ht="36">
      <c r="B508" s="108" t="str">
        <f>Orçamento!B259</f>
        <v>19.4</v>
      </c>
      <c r="C508" s="109" t="str">
        <f>Orçamento!C259</f>
        <v>Revestimento metálico, tipo "reynobond" duas chapas</v>
      </c>
      <c r="D508" s="189" t="s">
        <v>38</v>
      </c>
      <c r="E508" s="81"/>
      <c r="F508" s="81"/>
      <c r="G508" s="81"/>
      <c r="H508" s="81"/>
      <c r="I508" s="81"/>
      <c r="J508" s="81"/>
      <c r="K508" s="81"/>
      <c r="L508" s="84"/>
    </row>
    <row r="509" spans="2:12" ht="18">
      <c r="B509" s="130"/>
      <c r="C509" s="126"/>
      <c r="D509" s="153"/>
      <c r="E509" s="102"/>
      <c r="F509" s="143">
        <v>5.45</v>
      </c>
      <c r="G509" s="102"/>
      <c r="H509" s="140">
        <v>0.5</v>
      </c>
      <c r="I509" s="140">
        <f>F509*H509</f>
        <v>2.725</v>
      </c>
      <c r="J509" s="102"/>
      <c r="K509" s="102"/>
      <c r="L509" s="89">
        <f>I509</f>
        <v>2.725</v>
      </c>
    </row>
    <row r="510" spans="2:12" ht="18">
      <c r="B510" s="115"/>
      <c r="C510" s="113"/>
      <c r="D510" s="152"/>
      <c r="E510" s="94"/>
      <c r="F510" s="147"/>
      <c r="G510" s="94"/>
      <c r="H510" s="148"/>
      <c r="I510" s="95"/>
      <c r="J510" s="94"/>
      <c r="K510" s="94"/>
      <c r="L510" s="97">
        <f>SUM(L509)</f>
        <v>2.725</v>
      </c>
    </row>
    <row r="511" spans="2:12" ht="36">
      <c r="B511" s="108" t="str">
        <f>Orçamento!B260</f>
        <v>19.5</v>
      </c>
      <c r="C511" s="109" t="str">
        <f>Orçamento!C260</f>
        <v>Calha em chapa de aço galvanizado numero 24, desenvolvimento de 33cm</v>
      </c>
      <c r="D511" s="189" t="s">
        <v>33</v>
      </c>
      <c r="E511" s="81"/>
      <c r="F511" s="81"/>
      <c r="G511" s="81"/>
      <c r="H511" s="81"/>
      <c r="I511" s="81"/>
      <c r="J511" s="81"/>
      <c r="K511" s="81"/>
      <c r="L511" s="84"/>
    </row>
    <row r="512" spans="2:12" ht="18">
      <c r="B512" s="130"/>
      <c r="C512" s="126"/>
      <c r="D512" s="153"/>
      <c r="E512" s="102"/>
      <c r="F512" s="143">
        <v>3.45</v>
      </c>
      <c r="G512" s="102"/>
      <c r="H512" s="102"/>
      <c r="I512" s="102"/>
      <c r="J512" s="102"/>
      <c r="K512" s="102"/>
      <c r="L512" s="89">
        <f>F512</f>
        <v>3.45</v>
      </c>
    </row>
    <row r="513" spans="2:12" ht="18">
      <c r="B513" s="130"/>
      <c r="C513" s="126"/>
      <c r="D513" s="153"/>
      <c r="E513" s="102"/>
      <c r="F513" s="143"/>
      <c r="G513" s="102"/>
      <c r="H513" s="102"/>
      <c r="I513" s="102"/>
      <c r="J513" s="102"/>
      <c r="K513" s="102"/>
      <c r="L513" s="99">
        <f>L512</f>
        <v>3.45</v>
      </c>
    </row>
    <row r="514" spans="2:12" ht="36.75" customHeight="1">
      <c r="B514" s="108" t="str">
        <f>Orçamento!B261</f>
        <v>19.6</v>
      </c>
      <c r="C514" s="109" t="str">
        <f>Orçamento!C261</f>
        <v>Tubo de pvc "r" 75mm incl conexoes</v>
      </c>
      <c r="D514" s="189" t="s">
        <v>33</v>
      </c>
      <c r="E514" s="81"/>
      <c r="F514" s="81"/>
      <c r="G514" s="81"/>
      <c r="H514" s="81"/>
      <c r="I514" s="81"/>
      <c r="J514" s="81"/>
      <c r="K514" s="81"/>
      <c r="L514" s="84"/>
    </row>
    <row r="515" spans="2:12" ht="18">
      <c r="B515" s="130"/>
      <c r="C515" s="126"/>
      <c r="D515" s="153"/>
      <c r="E515" s="102"/>
      <c r="F515" s="140">
        <v>5.15</v>
      </c>
      <c r="G515" s="102"/>
      <c r="H515" s="102"/>
      <c r="I515" s="102"/>
      <c r="J515" s="102"/>
      <c r="K515" s="102"/>
      <c r="L515" s="89">
        <f>F515</f>
        <v>5.15</v>
      </c>
    </row>
    <row r="516" spans="2:12" ht="18">
      <c r="B516" s="115"/>
      <c r="C516" s="113"/>
      <c r="D516" s="152"/>
      <c r="E516" s="94"/>
      <c r="F516" s="147"/>
      <c r="G516" s="94"/>
      <c r="H516" s="94"/>
      <c r="I516" s="94"/>
      <c r="J516" s="94"/>
      <c r="K516" s="94"/>
      <c r="L516" s="97">
        <f>L515</f>
        <v>5.15</v>
      </c>
    </row>
    <row r="517" spans="2:12" ht="18" customHeight="1">
      <c r="B517" s="74" t="str">
        <f>Orçamento!B262</f>
        <v>20.00</v>
      </c>
      <c r="C517" s="75" t="str">
        <f>Orçamento!C262</f>
        <v>DIVERSOS</v>
      </c>
      <c r="D517" s="75"/>
      <c r="E517" s="76"/>
      <c r="F517" s="77"/>
      <c r="G517" s="77"/>
      <c r="H517" s="77"/>
      <c r="I517" s="77"/>
      <c r="J517" s="77"/>
      <c r="K517" s="77"/>
      <c r="L517" s="78"/>
    </row>
    <row r="518" spans="2:12" ht="18">
      <c r="B518" s="108" t="str">
        <f>Orçamento!B263</f>
        <v>20.1</v>
      </c>
      <c r="C518" s="109" t="str">
        <f>Orçamento!C263</f>
        <v>Forro de Gesso</v>
      </c>
      <c r="D518" s="189" t="s">
        <v>38</v>
      </c>
      <c r="E518" s="81"/>
      <c r="F518" s="392"/>
      <c r="G518" s="81"/>
      <c r="H518" s="81"/>
      <c r="I518" s="81"/>
      <c r="J518" s="81"/>
      <c r="K518" s="81"/>
      <c r="L518" s="84"/>
    </row>
    <row r="519" spans="2:12" ht="18">
      <c r="B519" s="130"/>
      <c r="C519" s="126"/>
      <c r="D519" s="153"/>
      <c r="E519" s="98" t="s">
        <v>546</v>
      </c>
      <c r="F519" s="88"/>
      <c r="G519" s="88"/>
      <c r="H519" s="88"/>
      <c r="I519" s="88">
        <f>11.08+31.19+29.93</f>
        <v>72.2</v>
      </c>
      <c r="J519" s="102"/>
      <c r="K519" s="102"/>
      <c r="L519" s="89">
        <f>I519</f>
        <v>72.2</v>
      </c>
    </row>
    <row r="520" spans="2:12" ht="18">
      <c r="B520" s="130"/>
      <c r="C520" s="126"/>
      <c r="D520" s="153"/>
      <c r="E520" s="98" t="s">
        <v>534</v>
      </c>
      <c r="F520" s="88"/>
      <c r="G520" s="88"/>
      <c r="H520" s="88"/>
      <c r="I520" s="88">
        <v>18.73</v>
      </c>
      <c r="J520" s="102"/>
      <c r="K520" s="102"/>
      <c r="L520" s="89">
        <f>I520</f>
        <v>18.73</v>
      </c>
    </row>
    <row r="521" spans="2:12" ht="18" customHeight="1">
      <c r="B521" s="293"/>
      <c r="C521" s="184"/>
      <c r="D521" s="184"/>
      <c r="E521" s="98" t="s">
        <v>556</v>
      </c>
      <c r="F521" s="88"/>
      <c r="G521" s="88"/>
      <c r="H521" s="88"/>
      <c r="I521" s="140">
        <f>5.95+2.75</f>
        <v>8.7</v>
      </c>
      <c r="J521" s="184"/>
      <c r="K521" s="184"/>
      <c r="L521" s="89">
        <f>I521</f>
        <v>8.7</v>
      </c>
    </row>
    <row r="522" spans="2:12" ht="18" customHeight="1">
      <c r="B522" s="393"/>
      <c r="C522" s="394"/>
      <c r="D522" s="394"/>
      <c r="E522" s="101"/>
      <c r="F522" s="95"/>
      <c r="G522" s="95"/>
      <c r="H522" s="95"/>
      <c r="I522" s="147"/>
      <c r="J522" s="394"/>
      <c r="K522" s="394"/>
      <c r="L522" s="97">
        <f>SUM(L519:L521)</f>
        <v>99.63000000000001</v>
      </c>
    </row>
    <row r="523" spans="2:12" ht="18" customHeight="1">
      <c r="B523" s="108" t="str">
        <f>Orçamento!B264</f>
        <v>20.2</v>
      </c>
      <c r="C523" s="109" t="str">
        <f>Orçamento!C264</f>
        <v>Brise de concreto armado</v>
      </c>
      <c r="D523" s="189" t="s">
        <v>739</v>
      </c>
      <c r="E523" s="100"/>
      <c r="F523" s="83"/>
      <c r="G523" s="83"/>
      <c r="H523" s="83"/>
      <c r="I523" s="392"/>
      <c r="J523" s="622"/>
      <c r="K523" s="622"/>
      <c r="L523" s="84"/>
    </row>
    <row r="524" spans="2:12" ht="18" customHeight="1">
      <c r="B524" s="293"/>
      <c r="C524" s="184"/>
      <c r="D524" s="184"/>
      <c r="E524" s="98" t="s">
        <v>750</v>
      </c>
      <c r="F524" s="88">
        <v>30.25</v>
      </c>
      <c r="G524" s="88">
        <v>0.15</v>
      </c>
      <c r="H524" s="88">
        <v>0.7</v>
      </c>
      <c r="I524" s="140">
        <f>F524*G524*H524</f>
        <v>3.1762499999999996</v>
      </c>
      <c r="J524" s="184"/>
      <c r="K524" s="184"/>
      <c r="L524" s="89">
        <f>I524</f>
        <v>3.1762499999999996</v>
      </c>
    </row>
    <row r="525" spans="2:12" ht="18" customHeight="1">
      <c r="B525" s="393"/>
      <c r="C525" s="394"/>
      <c r="D525" s="394"/>
      <c r="E525" s="101"/>
      <c r="F525" s="95"/>
      <c r="G525" s="95"/>
      <c r="H525" s="95"/>
      <c r="I525" s="147"/>
      <c r="J525" s="394"/>
      <c r="K525" s="394"/>
      <c r="L525" s="97">
        <f>SUM(L524)</f>
        <v>3.1762499999999996</v>
      </c>
    </row>
    <row r="526" spans="2:12" ht="18" customHeight="1">
      <c r="B526" s="108" t="str">
        <f>Orçamento!B265</f>
        <v>20.3</v>
      </c>
      <c r="C526" s="109" t="str">
        <f>Orçamento!C265</f>
        <v>Molduras em concreto pré-moldados d=1m</v>
      </c>
      <c r="D526" s="189" t="s">
        <v>1</v>
      </c>
      <c r="E526" s="100"/>
      <c r="F526" s="83"/>
      <c r="G526" s="83"/>
      <c r="H526" s="83"/>
      <c r="I526" s="392"/>
      <c r="J526" s="622"/>
      <c r="K526" s="622"/>
      <c r="L526" s="84"/>
    </row>
    <row r="527" spans="2:12" ht="18" customHeight="1">
      <c r="B527" s="293"/>
      <c r="C527" s="184"/>
      <c r="D527" s="184"/>
      <c r="E527" s="98" t="s">
        <v>750</v>
      </c>
      <c r="F527" s="88"/>
      <c r="G527" s="88"/>
      <c r="H527" s="88"/>
      <c r="I527" s="143"/>
      <c r="J527" s="184"/>
      <c r="K527" s="140">
        <v>7</v>
      </c>
      <c r="L527" s="89">
        <f>K527</f>
        <v>7</v>
      </c>
    </row>
    <row r="528" spans="2:12" ht="18" customHeight="1">
      <c r="B528" s="393"/>
      <c r="C528" s="394"/>
      <c r="D528" s="394"/>
      <c r="E528" s="101"/>
      <c r="F528" s="95"/>
      <c r="G528" s="95"/>
      <c r="H528" s="95"/>
      <c r="I528" s="147"/>
      <c r="J528" s="394"/>
      <c r="K528" s="394"/>
      <c r="L528" s="97">
        <f>SUM(L527)</f>
        <v>7</v>
      </c>
    </row>
    <row r="529" spans="2:12" ht="18" customHeight="1">
      <c r="B529" s="108" t="str">
        <f>Orçamento!B266</f>
        <v>20.4</v>
      </c>
      <c r="C529" s="109" t="str">
        <f>Orçamento!C266</f>
        <v>Bate maca</v>
      </c>
      <c r="D529" s="189" t="s">
        <v>33</v>
      </c>
      <c r="E529" s="100"/>
      <c r="F529" s="83"/>
      <c r="G529" s="83"/>
      <c r="H529" s="83"/>
      <c r="I529" s="392"/>
      <c r="J529" s="622"/>
      <c r="K529" s="622"/>
      <c r="L529" s="84"/>
    </row>
    <row r="530" spans="2:12" ht="18" customHeight="1">
      <c r="B530" s="293"/>
      <c r="C530" s="184"/>
      <c r="D530" s="184"/>
      <c r="E530" s="98" t="s">
        <v>763</v>
      </c>
      <c r="F530" s="88">
        <v>34.55</v>
      </c>
      <c r="G530" s="88"/>
      <c r="H530" s="88"/>
      <c r="I530" s="143"/>
      <c r="J530" s="184"/>
      <c r="K530" s="184"/>
      <c r="L530" s="89">
        <f>F530</f>
        <v>34.55</v>
      </c>
    </row>
    <row r="531" spans="2:12" ht="18" customHeight="1">
      <c r="B531" s="393"/>
      <c r="C531" s="394"/>
      <c r="D531" s="394"/>
      <c r="E531" s="101"/>
      <c r="F531" s="95"/>
      <c r="G531" s="95"/>
      <c r="H531" s="95"/>
      <c r="I531" s="147"/>
      <c r="J531" s="394"/>
      <c r="K531" s="394"/>
      <c r="L531" s="97">
        <f>L530</f>
        <v>34.55</v>
      </c>
    </row>
    <row r="532" spans="2:12" ht="18" customHeight="1">
      <c r="B532" s="293"/>
      <c r="C532" s="184"/>
      <c r="D532" s="184"/>
      <c r="E532" s="98"/>
      <c r="F532" s="88"/>
      <c r="G532" s="88"/>
      <c r="H532" s="88"/>
      <c r="I532" s="143"/>
      <c r="J532" s="184"/>
      <c r="K532" s="184"/>
      <c r="L532" s="99"/>
    </row>
    <row r="533" spans="2:12" ht="18" customHeight="1">
      <c r="B533" s="293"/>
      <c r="C533" s="184"/>
      <c r="D533" s="184"/>
      <c r="E533" s="98"/>
      <c r="F533" s="88"/>
      <c r="G533" s="88"/>
      <c r="H533" s="88"/>
      <c r="I533" s="143"/>
      <c r="J533" s="184"/>
      <c r="K533" s="184"/>
      <c r="L533" s="99"/>
    </row>
    <row r="534" spans="2:12" ht="18" customHeight="1">
      <c r="B534" s="293"/>
      <c r="C534" s="184"/>
      <c r="D534" s="184"/>
      <c r="E534" s="98"/>
      <c r="F534" s="88"/>
      <c r="G534" s="88"/>
      <c r="H534" s="88"/>
      <c r="I534" s="143"/>
      <c r="J534" s="184"/>
      <c r="K534" s="184"/>
      <c r="L534" s="99"/>
    </row>
    <row r="535" spans="2:12" ht="18" customHeight="1">
      <c r="B535" s="293"/>
      <c r="C535" s="184"/>
      <c r="D535" s="184"/>
      <c r="E535" s="98"/>
      <c r="F535" s="88"/>
      <c r="G535" s="88"/>
      <c r="H535" s="88"/>
      <c r="I535" s="143"/>
      <c r="J535" s="184"/>
      <c r="K535" s="184"/>
      <c r="L535" s="99"/>
    </row>
    <row r="536" spans="2:12" ht="18" customHeight="1">
      <c r="B536" s="293"/>
      <c r="C536" s="184"/>
      <c r="D536" s="184"/>
      <c r="E536" s="98"/>
      <c r="F536" s="88"/>
      <c r="G536" s="88"/>
      <c r="H536" s="88"/>
      <c r="I536" s="143"/>
      <c r="J536" s="184"/>
      <c r="K536" s="184"/>
      <c r="L536" s="99"/>
    </row>
    <row r="537" spans="2:12" ht="18" customHeight="1">
      <c r="B537" s="293"/>
      <c r="C537" s="184"/>
      <c r="D537" s="184"/>
      <c r="E537" s="98"/>
      <c r="F537" s="88"/>
      <c r="G537" s="88"/>
      <c r="H537" s="88"/>
      <c r="I537" s="143"/>
      <c r="J537" s="184"/>
      <c r="K537" s="184"/>
      <c r="L537" s="99"/>
    </row>
    <row r="538" spans="2:12" ht="18" customHeight="1">
      <c r="B538" s="293"/>
      <c r="C538" s="184"/>
      <c r="D538" s="184"/>
      <c r="E538" s="98"/>
      <c r="F538" s="88"/>
      <c r="G538" s="88"/>
      <c r="H538" s="88"/>
      <c r="I538" s="143"/>
      <c r="J538" s="184"/>
      <c r="K538" s="184"/>
      <c r="L538" s="99"/>
    </row>
    <row r="539" spans="2:12" ht="18" customHeight="1">
      <c r="B539" s="293"/>
      <c r="C539" s="184"/>
      <c r="D539" s="184"/>
      <c r="E539" s="98"/>
      <c r="F539" s="88"/>
      <c r="G539" s="88"/>
      <c r="H539" s="88"/>
      <c r="I539" s="143"/>
      <c r="J539" s="184"/>
      <c r="K539" s="184"/>
      <c r="L539" s="99"/>
    </row>
    <row r="540" spans="2:12" ht="18" customHeight="1">
      <c r="B540" s="293"/>
      <c r="C540" s="184"/>
      <c r="D540" s="184"/>
      <c r="E540" s="98"/>
      <c r="F540" s="88"/>
      <c r="G540" s="88"/>
      <c r="H540" s="88"/>
      <c r="I540" s="143"/>
      <c r="J540" s="184"/>
      <c r="K540" s="184"/>
      <c r="L540" s="99"/>
    </row>
    <row r="541" spans="2:12" ht="18" customHeight="1">
      <c r="B541" s="293"/>
      <c r="C541" s="785" t="str">
        <f>Orçamento!B276</f>
        <v>Teresina (PI), 23 de Abril de 2015</v>
      </c>
      <c r="D541" s="785"/>
      <c r="E541" s="184"/>
      <c r="F541" s="184"/>
      <c r="G541" s="184"/>
      <c r="H541" s="184"/>
      <c r="I541" s="184"/>
      <c r="J541" s="184"/>
      <c r="K541" s="184"/>
      <c r="L541" s="294"/>
    </row>
    <row r="542" spans="2:12" ht="18" customHeight="1">
      <c r="B542" s="293"/>
      <c r="C542" s="623"/>
      <c r="D542" s="623"/>
      <c r="E542" s="184"/>
      <c r="F542" s="184"/>
      <c r="G542" s="184"/>
      <c r="H542" s="184"/>
      <c r="I542" s="184"/>
      <c r="J542" s="184"/>
      <c r="K542" s="184"/>
      <c r="L542" s="294"/>
    </row>
    <row r="543" spans="2:12" ht="18" customHeight="1">
      <c r="B543" s="293"/>
      <c r="C543" s="623"/>
      <c r="D543" s="623"/>
      <c r="E543" s="184"/>
      <c r="F543" s="184"/>
      <c r="G543" s="184"/>
      <c r="H543" s="184"/>
      <c r="I543" s="184"/>
      <c r="J543" s="184"/>
      <c r="K543" s="184"/>
      <c r="L543" s="294"/>
    </row>
    <row r="544" spans="2:12" ht="18" customHeight="1">
      <c r="B544" s="293"/>
      <c r="C544" s="623"/>
      <c r="D544" s="623"/>
      <c r="E544" s="184"/>
      <c r="F544" s="184"/>
      <c r="G544" s="184"/>
      <c r="H544" s="184"/>
      <c r="I544" s="184"/>
      <c r="J544" s="184"/>
      <c r="K544" s="184"/>
      <c r="L544" s="294"/>
    </row>
    <row r="545" spans="2:12" ht="18" customHeight="1">
      <c r="B545" s="293"/>
      <c r="C545" s="623"/>
      <c r="D545" s="623"/>
      <c r="E545" s="184"/>
      <c r="F545" s="184"/>
      <c r="G545" s="184"/>
      <c r="H545" s="184"/>
      <c r="I545" s="184"/>
      <c r="J545" s="184"/>
      <c r="K545" s="184"/>
      <c r="L545" s="294"/>
    </row>
    <row r="546" spans="2:12" ht="18" customHeight="1">
      <c r="B546" s="293"/>
      <c r="C546" s="623"/>
      <c r="D546" s="623"/>
      <c r="E546" s="184"/>
      <c r="F546" s="184"/>
      <c r="G546" s="184"/>
      <c r="H546" s="184"/>
      <c r="I546" s="184"/>
      <c r="J546" s="184"/>
      <c r="K546" s="184"/>
      <c r="L546" s="294"/>
    </row>
    <row r="547" spans="2:12" ht="18" customHeight="1">
      <c r="B547" s="293"/>
      <c r="C547" s="623"/>
      <c r="D547" s="623"/>
      <c r="E547" s="184"/>
      <c r="F547" s="184"/>
      <c r="G547" s="184"/>
      <c r="H547" s="184"/>
      <c r="I547" s="184"/>
      <c r="J547" s="184"/>
      <c r="K547" s="184"/>
      <c r="L547" s="294"/>
    </row>
    <row r="548" spans="2:12" ht="18" customHeight="1">
      <c r="B548" s="293"/>
      <c r="C548" s="623"/>
      <c r="D548" s="623"/>
      <c r="E548" s="184"/>
      <c r="F548" s="184"/>
      <c r="G548" s="184"/>
      <c r="H548" s="184"/>
      <c r="I548" s="184"/>
      <c r="J548" s="184"/>
      <c r="K548" s="184"/>
      <c r="L548" s="294"/>
    </row>
    <row r="549" spans="2:12" ht="18" customHeight="1">
      <c r="B549" s="293"/>
      <c r="C549" s="623"/>
      <c r="D549" s="623"/>
      <c r="E549" s="184"/>
      <c r="F549" s="184"/>
      <c r="G549" s="184"/>
      <c r="H549" s="184"/>
      <c r="I549" s="184"/>
      <c r="J549" s="184"/>
      <c r="K549" s="184"/>
      <c r="L549" s="294"/>
    </row>
    <row r="550" spans="2:12" ht="18" customHeight="1">
      <c r="B550" s="293"/>
      <c r="C550" s="623"/>
      <c r="D550" s="623"/>
      <c r="E550" s="184"/>
      <c r="F550" s="184"/>
      <c r="G550" s="184"/>
      <c r="H550" s="184"/>
      <c r="I550" s="184"/>
      <c r="J550" s="184"/>
      <c r="K550" s="184"/>
      <c r="L550" s="294"/>
    </row>
    <row r="551" ht="18" customHeight="1"/>
    <row r="552" ht="18" customHeight="1"/>
    <row r="553" ht="18" customHeight="1"/>
    <row r="554" ht="18" customHeight="1"/>
    <row r="555" ht="18" customHeight="1"/>
    <row r="556" ht="18" customHeight="1"/>
  </sheetData>
  <sheetProtection/>
  <mergeCells count="12">
    <mergeCell ref="Q7:T15"/>
    <mergeCell ref="B9:E9"/>
    <mergeCell ref="F9:L9"/>
    <mergeCell ref="B10:E10"/>
    <mergeCell ref="F10:L10"/>
    <mergeCell ref="B12:L12"/>
    <mergeCell ref="B2:C7"/>
    <mergeCell ref="D2:E7"/>
    <mergeCell ref="F2:L3"/>
    <mergeCell ref="C541:D541"/>
    <mergeCell ref="F4:L5"/>
    <mergeCell ref="F6:L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338"/>
  <sheetViews>
    <sheetView view="pageBreakPreview" zoomScale="82" zoomScaleSheetLayoutView="82" zoomScalePageLayoutView="0" workbookViewId="0" topLeftCell="A1">
      <selection activeCell="F9" sqref="F9:J9"/>
    </sheetView>
  </sheetViews>
  <sheetFormatPr defaultColWidth="9.140625" defaultRowHeight="18" customHeight="1"/>
  <cols>
    <col min="1" max="1" width="4.7109375" style="295" customWidth="1"/>
    <col min="2" max="2" width="18.7109375" style="321" customWidth="1"/>
    <col min="3" max="3" width="54.00390625" style="295" customWidth="1"/>
    <col min="4" max="4" width="9.57421875" style="318" customWidth="1"/>
    <col min="5" max="5" width="9.7109375" style="322" customWidth="1"/>
    <col min="6" max="6" width="17.00390625" style="320" customWidth="1"/>
    <col min="7" max="7" width="19.140625" style="320" customWidth="1"/>
    <col min="8" max="8" width="15.00390625" style="295" customWidth="1"/>
    <col min="9" max="9" width="14.7109375" style="295" customWidth="1"/>
    <col min="10" max="10" width="0.13671875" style="295" customWidth="1"/>
    <col min="11" max="11" width="11.57421875" style="295" customWidth="1"/>
    <col min="12" max="12" width="17.7109375" style="295" customWidth="1"/>
    <col min="13" max="16384" width="9.140625" style="295" customWidth="1"/>
  </cols>
  <sheetData>
    <row r="1" spans="2:10" ht="18" customHeight="1">
      <c r="B1" s="26"/>
      <c r="C1" s="20"/>
      <c r="D1" s="27"/>
      <c r="E1" s="28"/>
      <c r="F1" s="29"/>
      <c r="G1" s="29"/>
      <c r="H1" s="20"/>
      <c r="I1" s="20"/>
      <c r="J1" s="20"/>
    </row>
    <row r="2" spans="2:10" ht="18" customHeight="1">
      <c r="B2" s="835"/>
      <c r="C2" s="835"/>
      <c r="D2" s="735" t="s">
        <v>46</v>
      </c>
      <c r="E2" s="735"/>
      <c r="F2" s="735"/>
      <c r="G2" s="735"/>
      <c r="H2" s="735"/>
      <c r="I2" s="735"/>
      <c r="J2" s="735"/>
    </row>
    <row r="3" spans="2:10" ht="18" customHeight="1">
      <c r="B3" s="835"/>
      <c r="C3" s="835"/>
      <c r="D3" s="735"/>
      <c r="E3" s="735"/>
      <c r="F3" s="735"/>
      <c r="G3" s="735"/>
      <c r="H3" s="735"/>
      <c r="I3" s="735"/>
      <c r="J3" s="735"/>
    </row>
    <row r="4" spans="2:10" ht="18" customHeight="1">
      <c r="B4" s="835"/>
      <c r="C4" s="835"/>
      <c r="D4" s="836" t="s">
        <v>47</v>
      </c>
      <c r="E4" s="837"/>
      <c r="F4" s="837"/>
      <c r="G4" s="837"/>
      <c r="H4" s="837"/>
      <c r="I4" s="837"/>
      <c r="J4" s="838"/>
    </row>
    <row r="5" spans="2:10" ht="18" customHeight="1">
      <c r="B5" s="835"/>
      <c r="C5" s="835"/>
      <c r="D5" s="839"/>
      <c r="E5" s="840"/>
      <c r="F5" s="840"/>
      <c r="G5" s="840"/>
      <c r="H5" s="840"/>
      <c r="I5" s="840"/>
      <c r="J5" s="841"/>
    </row>
    <row r="6" spans="2:10" ht="18" customHeight="1">
      <c r="B6" s="835"/>
      <c r="C6" s="835"/>
      <c r="D6" s="768" t="s">
        <v>34</v>
      </c>
      <c r="E6" s="768"/>
      <c r="F6" s="768"/>
      <c r="G6" s="768"/>
      <c r="H6" s="768"/>
      <c r="I6" s="768"/>
      <c r="J6" s="768"/>
    </row>
    <row r="7" spans="2:10" ht="18" customHeight="1">
      <c r="B7" s="835"/>
      <c r="C7" s="835"/>
      <c r="D7" s="768"/>
      <c r="E7" s="768"/>
      <c r="F7" s="768"/>
      <c r="G7" s="768"/>
      <c r="H7" s="768"/>
      <c r="I7" s="768"/>
      <c r="J7" s="768"/>
    </row>
    <row r="8" spans="2:10" s="297" customFormat="1" ht="4.5" customHeight="1">
      <c r="B8" s="36"/>
      <c r="C8" s="36"/>
      <c r="D8" s="296"/>
      <c r="E8" s="296"/>
      <c r="F8" s="296"/>
      <c r="G8" s="296"/>
      <c r="H8" s="296"/>
      <c r="I8" s="296"/>
      <c r="J8" s="296"/>
    </row>
    <row r="9" spans="2:10" ht="18" customHeight="1">
      <c r="B9" s="842" t="s">
        <v>130</v>
      </c>
      <c r="C9" s="843"/>
      <c r="D9" s="843"/>
      <c r="E9" s="844"/>
      <c r="F9" s="845" t="s">
        <v>1066</v>
      </c>
      <c r="G9" s="846"/>
      <c r="H9" s="846"/>
      <c r="I9" s="846"/>
      <c r="J9" s="847"/>
    </row>
    <row r="10" spans="2:10" ht="18" customHeight="1">
      <c r="B10" s="842" t="s">
        <v>105</v>
      </c>
      <c r="C10" s="843"/>
      <c r="D10" s="843"/>
      <c r="E10" s="844"/>
      <c r="F10" s="848" t="s">
        <v>584</v>
      </c>
      <c r="G10" s="849"/>
      <c r="H10" s="849"/>
      <c r="I10" s="850"/>
      <c r="J10" s="298"/>
    </row>
    <row r="11" spans="2:10" ht="4.5" customHeight="1" thickBot="1">
      <c r="B11" s="299"/>
      <c r="C11" s="299"/>
      <c r="D11" s="299"/>
      <c r="E11" s="299"/>
      <c r="F11" s="300"/>
      <c r="G11" s="300"/>
      <c r="H11" s="300"/>
      <c r="I11" s="300"/>
      <c r="J11" s="301"/>
    </row>
    <row r="12" spans="2:10" ht="24.75" customHeight="1" thickBot="1">
      <c r="B12" s="851" t="s">
        <v>110</v>
      </c>
      <c r="C12" s="852"/>
      <c r="D12" s="852"/>
      <c r="E12" s="852"/>
      <c r="F12" s="852"/>
      <c r="G12" s="852"/>
      <c r="H12" s="852"/>
      <c r="I12" s="853"/>
      <c r="J12" s="301"/>
    </row>
    <row r="13" spans="2:10" s="303" customFormat="1" ht="4.5" customHeight="1">
      <c r="B13" s="299"/>
      <c r="C13" s="299"/>
      <c r="D13" s="299"/>
      <c r="E13" s="299"/>
      <c r="F13" s="299"/>
      <c r="G13" s="299"/>
      <c r="H13" s="299"/>
      <c r="I13" s="299"/>
      <c r="J13" s="302"/>
    </row>
    <row r="14" spans="2:10" ht="18.75" customHeight="1">
      <c r="B14" s="830" t="s">
        <v>111</v>
      </c>
      <c r="C14" s="831"/>
      <c r="D14" s="832">
        <v>0.8946</v>
      </c>
      <c r="E14" s="832"/>
      <c r="F14" s="833"/>
      <c r="G14" s="833"/>
      <c r="H14" s="833"/>
      <c r="I14" s="834"/>
      <c r="J14" s="304"/>
    </row>
    <row r="15" spans="2:10" ht="18.75" customHeight="1">
      <c r="B15" s="812" t="s">
        <v>699</v>
      </c>
      <c r="C15" s="813"/>
      <c r="D15" s="813"/>
      <c r="E15" s="813"/>
      <c r="F15" s="813"/>
      <c r="G15" s="813"/>
      <c r="H15" s="813"/>
      <c r="I15" s="814"/>
      <c r="J15" s="407"/>
    </row>
    <row r="16" spans="2:10" ht="18.75" customHeight="1">
      <c r="B16" s="627" t="s">
        <v>112</v>
      </c>
      <c r="C16" s="628"/>
      <c r="D16" s="305">
        <f>I30</f>
        <v>38.21</v>
      </c>
      <c r="E16" s="306"/>
      <c r="F16" s="306"/>
      <c r="G16" s="307"/>
      <c r="H16" s="307"/>
      <c r="I16" s="308" t="s">
        <v>866</v>
      </c>
      <c r="J16" s="407"/>
    </row>
    <row r="17" spans="2:10" ht="18.75" customHeight="1">
      <c r="B17" s="817"/>
      <c r="C17" s="818"/>
      <c r="D17" s="818"/>
      <c r="E17" s="818"/>
      <c r="F17" s="818"/>
      <c r="G17" s="818"/>
      <c r="H17" s="818"/>
      <c r="I17" s="819"/>
      <c r="J17" s="407"/>
    </row>
    <row r="18" spans="2:10" ht="18.75" customHeight="1">
      <c r="B18" s="309" t="s">
        <v>40</v>
      </c>
      <c r="C18" s="310" t="s">
        <v>113</v>
      </c>
      <c r="D18" s="310"/>
      <c r="E18" s="310"/>
      <c r="F18" s="310" t="s">
        <v>4</v>
      </c>
      <c r="G18" s="310" t="s">
        <v>114</v>
      </c>
      <c r="H18" s="310" t="s">
        <v>115</v>
      </c>
      <c r="I18" s="311" t="s">
        <v>116</v>
      </c>
      <c r="J18" s="407"/>
    </row>
    <row r="19" spans="2:10" ht="18.75" customHeight="1">
      <c r="B19" s="806" t="s">
        <v>117</v>
      </c>
      <c r="C19" s="807"/>
      <c r="D19" s="807"/>
      <c r="E19" s="807"/>
      <c r="F19" s="807"/>
      <c r="G19" s="807"/>
      <c r="H19" s="807"/>
      <c r="I19" s="808"/>
      <c r="J19" s="407"/>
    </row>
    <row r="20" spans="2:10" ht="18.75" customHeight="1">
      <c r="B20" s="625" t="s">
        <v>624</v>
      </c>
      <c r="C20" s="803" t="s">
        <v>621</v>
      </c>
      <c r="D20" s="803"/>
      <c r="E20" s="803"/>
      <c r="F20" s="626" t="s">
        <v>125</v>
      </c>
      <c r="G20" s="312">
        <v>1</v>
      </c>
      <c r="H20" s="312">
        <f>12.91/1.8946</f>
        <v>6.8141032407896125</v>
      </c>
      <c r="I20" s="313">
        <f>ROUND(G20*H20,2)</f>
        <v>6.81</v>
      </c>
      <c r="J20" s="407"/>
    </row>
    <row r="21" spans="2:10" ht="18.75" customHeight="1">
      <c r="B21" s="646" t="s">
        <v>127</v>
      </c>
      <c r="C21" s="647" t="s">
        <v>128</v>
      </c>
      <c r="D21" s="647"/>
      <c r="E21" s="647"/>
      <c r="F21" s="648" t="s">
        <v>786</v>
      </c>
      <c r="G21" s="649">
        <v>2</v>
      </c>
      <c r="H21" s="312">
        <f>10.05/1.8946</f>
        <v>5.304549773039164</v>
      </c>
      <c r="I21" s="313">
        <f>ROUND(G21*H21,2)</f>
        <v>10.61</v>
      </c>
      <c r="J21" s="407"/>
    </row>
    <row r="22" spans="2:10" ht="18.75" customHeight="1">
      <c r="B22" s="804" t="s">
        <v>118</v>
      </c>
      <c r="C22" s="805"/>
      <c r="D22" s="805"/>
      <c r="E22" s="805"/>
      <c r="F22" s="805"/>
      <c r="G22" s="805"/>
      <c r="H22" s="805"/>
      <c r="I22" s="314">
        <f>SUM(I20:I21)</f>
        <v>17.419999999999998</v>
      </c>
      <c r="J22" s="407"/>
    </row>
    <row r="23" spans="2:10" ht="18.75" customHeight="1">
      <c r="B23" s="824" t="s">
        <v>805</v>
      </c>
      <c r="C23" s="825"/>
      <c r="D23" s="825"/>
      <c r="E23" s="825"/>
      <c r="F23" s="825"/>
      <c r="G23" s="825"/>
      <c r="H23" s="825"/>
      <c r="I23" s="826"/>
      <c r="J23" s="407"/>
    </row>
    <row r="24" spans="2:10" ht="26.25" customHeight="1">
      <c r="B24" s="646" t="s">
        <v>862</v>
      </c>
      <c r="C24" s="827" t="s">
        <v>861</v>
      </c>
      <c r="D24" s="827"/>
      <c r="E24" s="827"/>
      <c r="F24" s="674" t="s">
        <v>713</v>
      </c>
      <c r="G24" s="657">
        <v>0.1</v>
      </c>
      <c r="H24" s="312">
        <v>18.97</v>
      </c>
      <c r="I24" s="313">
        <f>ROUND(G24*H24,2)</f>
        <v>1.9</v>
      </c>
      <c r="J24" s="407"/>
    </row>
    <row r="25" spans="2:10" ht="18.75" customHeight="1">
      <c r="B25" s="646" t="s">
        <v>864</v>
      </c>
      <c r="C25" s="827" t="s">
        <v>863</v>
      </c>
      <c r="D25" s="827"/>
      <c r="E25" s="827"/>
      <c r="F25" s="674" t="s">
        <v>712</v>
      </c>
      <c r="G25" s="624">
        <v>0.5</v>
      </c>
      <c r="H25" s="312">
        <v>6.61</v>
      </c>
      <c r="I25" s="313">
        <f>ROUND(G25*H25,2)</f>
        <v>3.31</v>
      </c>
      <c r="J25" s="407"/>
    </row>
    <row r="26" spans="2:10" ht="18.75" customHeight="1">
      <c r="B26" s="820" t="s">
        <v>824</v>
      </c>
      <c r="C26" s="821"/>
      <c r="D26" s="821"/>
      <c r="E26" s="821"/>
      <c r="F26" s="821"/>
      <c r="G26" s="821"/>
      <c r="H26" s="821"/>
      <c r="I26" s="656">
        <f>SUM(I24:I25)</f>
        <v>5.21</v>
      </c>
      <c r="J26" s="407"/>
    </row>
    <row r="27" spans="2:10" ht="18.75" customHeight="1">
      <c r="B27" s="658"/>
      <c r="C27" s="659"/>
      <c r="D27" s="659"/>
      <c r="E27" s="659"/>
      <c r="F27" s="659"/>
      <c r="G27" s="659"/>
      <c r="H27" s="659"/>
      <c r="I27" s="660"/>
      <c r="J27" s="407"/>
    </row>
    <row r="28" spans="2:10" ht="18.75" customHeight="1">
      <c r="B28" s="820" t="s">
        <v>122</v>
      </c>
      <c r="C28" s="821"/>
      <c r="D28" s="821"/>
      <c r="E28" s="821"/>
      <c r="F28" s="821"/>
      <c r="G28" s="821"/>
      <c r="H28" s="821"/>
      <c r="I28" s="661">
        <f>I22+I26</f>
        <v>22.63</v>
      </c>
      <c r="J28" s="407"/>
    </row>
    <row r="29" spans="2:10" ht="18.75" customHeight="1">
      <c r="B29" s="820" t="s">
        <v>123</v>
      </c>
      <c r="C29" s="821"/>
      <c r="D29" s="821"/>
      <c r="E29" s="821"/>
      <c r="F29" s="821"/>
      <c r="G29" s="821"/>
      <c r="H29" s="821"/>
      <c r="I29" s="315">
        <f>ROUND(I22*$D$14,2)</f>
        <v>15.58</v>
      </c>
      <c r="J29" s="407"/>
    </row>
    <row r="30" spans="2:10" ht="18.75" customHeight="1">
      <c r="B30" s="822" t="s">
        <v>124</v>
      </c>
      <c r="C30" s="823"/>
      <c r="D30" s="823"/>
      <c r="E30" s="823"/>
      <c r="F30" s="823"/>
      <c r="G30" s="823"/>
      <c r="H30" s="823"/>
      <c r="I30" s="662">
        <f>I28+I29</f>
        <v>38.21</v>
      </c>
      <c r="J30" s="407"/>
    </row>
    <row r="31" spans="2:10" ht="18.75" customHeight="1">
      <c r="B31" s="672"/>
      <c r="C31" s="673"/>
      <c r="D31" s="673"/>
      <c r="E31" s="673"/>
      <c r="F31" s="673"/>
      <c r="G31" s="673"/>
      <c r="H31" s="673"/>
      <c r="I31" s="665"/>
      <c r="J31" s="407"/>
    </row>
    <row r="32" spans="2:10" ht="34.5" customHeight="1">
      <c r="B32" s="855" t="s">
        <v>783</v>
      </c>
      <c r="C32" s="856"/>
      <c r="D32" s="856"/>
      <c r="E32" s="856"/>
      <c r="F32" s="856"/>
      <c r="G32" s="856"/>
      <c r="H32" s="856"/>
      <c r="I32" s="857"/>
      <c r="J32" s="407"/>
    </row>
    <row r="33" spans="2:10" ht="18.75" customHeight="1">
      <c r="B33" s="636" t="s">
        <v>112</v>
      </c>
      <c r="C33" s="637"/>
      <c r="D33" s="638">
        <v>1610.65</v>
      </c>
      <c r="E33" s="639"/>
      <c r="F33" s="639"/>
      <c r="G33" s="640"/>
      <c r="H33" s="640"/>
      <c r="I33" s="641" t="s">
        <v>784</v>
      </c>
      <c r="J33" s="407"/>
    </row>
    <row r="34" spans="2:10" ht="18.75" customHeight="1">
      <c r="B34" s="858"/>
      <c r="C34" s="859"/>
      <c r="D34" s="859"/>
      <c r="E34" s="859"/>
      <c r="F34" s="859"/>
      <c r="G34" s="859"/>
      <c r="H34" s="859"/>
      <c r="I34" s="860"/>
      <c r="J34" s="407"/>
    </row>
    <row r="35" spans="2:10" ht="18.75" customHeight="1">
      <c r="B35" s="643" t="s">
        <v>40</v>
      </c>
      <c r="C35" s="644" t="s">
        <v>113</v>
      </c>
      <c r="D35" s="644"/>
      <c r="E35" s="644"/>
      <c r="F35" s="644" t="s">
        <v>4</v>
      </c>
      <c r="G35" s="644" t="s">
        <v>114</v>
      </c>
      <c r="H35" s="644" t="s">
        <v>115</v>
      </c>
      <c r="I35" s="645" t="s">
        <v>116</v>
      </c>
      <c r="J35" s="407"/>
    </row>
    <row r="36" spans="2:10" ht="18.75" customHeight="1">
      <c r="B36" s="824" t="s">
        <v>117</v>
      </c>
      <c r="C36" s="825"/>
      <c r="D36" s="825"/>
      <c r="E36" s="825"/>
      <c r="F36" s="825"/>
      <c r="G36" s="825"/>
      <c r="H36" s="825"/>
      <c r="I36" s="826"/>
      <c r="J36" s="407"/>
    </row>
    <row r="37" spans="2:10" ht="18.75" customHeight="1">
      <c r="B37" s="646" t="s">
        <v>714</v>
      </c>
      <c r="C37" s="827" t="s">
        <v>785</v>
      </c>
      <c r="D37" s="827"/>
      <c r="E37" s="827"/>
      <c r="F37" s="648" t="s">
        <v>786</v>
      </c>
      <c r="G37" s="649">
        <v>0.5</v>
      </c>
      <c r="H37" s="312">
        <f>12.91/1.8946</f>
        <v>6.8141032407896125</v>
      </c>
      <c r="I37" s="651">
        <f>G37*H37</f>
        <v>3.4070516203948062</v>
      </c>
      <c r="J37" s="407"/>
    </row>
    <row r="38" spans="2:10" ht="18.75" customHeight="1">
      <c r="B38" s="646" t="s">
        <v>787</v>
      </c>
      <c r="C38" s="647" t="s">
        <v>788</v>
      </c>
      <c r="D38" s="647"/>
      <c r="E38" s="647"/>
      <c r="F38" s="648" t="s">
        <v>786</v>
      </c>
      <c r="G38" s="649">
        <v>6.15</v>
      </c>
      <c r="H38" s="312">
        <f>12.77/1.8946</f>
        <v>6.740209015095534</v>
      </c>
      <c r="I38" s="651">
        <f>G38*H38</f>
        <v>41.452285442837535</v>
      </c>
      <c r="J38" s="407"/>
    </row>
    <row r="39" spans="2:10" ht="18.75" customHeight="1">
      <c r="B39" s="646" t="s">
        <v>127</v>
      </c>
      <c r="C39" s="647" t="s">
        <v>128</v>
      </c>
      <c r="D39" s="647"/>
      <c r="E39" s="647"/>
      <c r="F39" s="648" t="s">
        <v>786</v>
      </c>
      <c r="G39" s="649">
        <v>6.15</v>
      </c>
      <c r="H39" s="312">
        <f>10.05/1.8946</f>
        <v>5.304549773039164</v>
      </c>
      <c r="I39" s="651">
        <f>G39*H39</f>
        <v>32.62298110419086</v>
      </c>
      <c r="J39" s="407"/>
    </row>
    <row r="40" spans="2:10" ht="18.75" customHeight="1">
      <c r="B40" s="646" t="s">
        <v>624</v>
      </c>
      <c r="C40" s="647" t="s">
        <v>621</v>
      </c>
      <c r="D40" s="647"/>
      <c r="E40" s="647"/>
      <c r="F40" s="648" t="s">
        <v>786</v>
      </c>
      <c r="G40" s="649">
        <v>4</v>
      </c>
      <c r="H40" s="312">
        <f>12.91/1.8946</f>
        <v>6.8141032407896125</v>
      </c>
      <c r="I40" s="651">
        <f>G40*H40</f>
        <v>27.25641296315845</v>
      </c>
      <c r="J40" s="407"/>
    </row>
    <row r="41" spans="2:10" ht="28.5" customHeight="1">
      <c r="B41" s="646" t="s">
        <v>789</v>
      </c>
      <c r="C41" s="827" t="s">
        <v>790</v>
      </c>
      <c r="D41" s="827"/>
      <c r="E41" s="827"/>
      <c r="F41" s="648" t="s">
        <v>786</v>
      </c>
      <c r="G41" s="652">
        <v>0.5</v>
      </c>
      <c r="H41" s="312">
        <f>20.69/1.8946</f>
        <v>10.920510925789085</v>
      </c>
      <c r="I41" s="651">
        <f>G41*H41</f>
        <v>5.460255462894542</v>
      </c>
      <c r="J41" s="407"/>
    </row>
    <row r="42" spans="2:10" ht="18.75" customHeight="1">
      <c r="B42" s="820" t="s">
        <v>118</v>
      </c>
      <c r="C42" s="821"/>
      <c r="D42" s="821"/>
      <c r="E42" s="821"/>
      <c r="F42" s="821"/>
      <c r="G42" s="821"/>
      <c r="H42" s="821"/>
      <c r="I42" s="653">
        <f>SUM(I37:I41)</f>
        <v>110.19898659347619</v>
      </c>
      <c r="J42" s="407"/>
    </row>
    <row r="43" spans="2:10" ht="18.75" customHeight="1">
      <c r="B43" s="824" t="s">
        <v>119</v>
      </c>
      <c r="C43" s="825"/>
      <c r="D43" s="825"/>
      <c r="E43" s="825"/>
      <c r="F43" s="825"/>
      <c r="G43" s="825"/>
      <c r="H43" s="825"/>
      <c r="I43" s="826"/>
      <c r="J43" s="407"/>
    </row>
    <row r="44" spans="2:10" ht="18.75" customHeight="1">
      <c r="B44" s="646" t="s">
        <v>791</v>
      </c>
      <c r="C44" s="654" t="s">
        <v>792</v>
      </c>
      <c r="D44" s="654"/>
      <c r="E44" s="654"/>
      <c r="F44" s="648" t="s">
        <v>120</v>
      </c>
      <c r="G44" s="649">
        <v>1.8</v>
      </c>
      <c r="H44" s="655">
        <v>8.24</v>
      </c>
      <c r="I44" s="651">
        <f aca="true" t="shared" si="0" ref="I44:I50">G44*H44</f>
        <v>14.832</v>
      </c>
      <c r="J44" s="407"/>
    </row>
    <row r="45" spans="2:10" ht="18.75" customHeight="1">
      <c r="B45" s="646" t="s">
        <v>793</v>
      </c>
      <c r="C45" s="654" t="s">
        <v>794</v>
      </c>
      <c r="D45" s="654"/>
      <c r="E45" s="654"/>
      <c r="F45" s="648" t="s">
        <v>120</v>
      </c>
      <c r="G45" s="655">
        <v>5</v>
      </c>
      <c r="H45" s="655">
        <v>3.14</v>
      </c>
      <c r="I45" s="651">
        <f t="shared" si="0"/>
        <v>15.700000000000001</v>
      </c>
      <c r="J45" s="407"/>
    </row>
    <row r="46" spans="2:10" ht="18.75" customHeight="1">
      <c r="B46" s="646" t="s">
        <v>795</v>
      </c>
      <c r="C46" s="654" t="s">
        <v>796</v>
      </c>
      <c r="D46" s="654"/>
      <c r="E46" s="654"/>
      <c r="F46" s="648" t="s">
        <v>120</v>
      </c>
      <c r="G46" s="649">
        <v>10</v>
      </c>
      <c r="H46" s="655">
        <v>2.94</v>
      </c>
      <c r="I46" s="651">
        <f t="shared" si="0"/>
        <v>29.4</v>
      </c>
      <c r="J46" s="407"/>
    </row>
    <row r="47" spans="2:10" ht="18.75" customHeight="1">
      <c r="B47" s="646" t="s">
        <v>797</v>
      </c>
      <c r="C47" s="654" t="s">
        <v>798</v>
      </c>
      <c r="D47" s="654"/>
      <c r="E47" s="654"/>
      <c r="F47" s="648" t="s">
        <v>120</v>
      </c>
      <c r="G47" s="649">
        <v>12</v>
      </c>
      <c r="H47" s="650">
        <v>3.14</v>
      </c>
      <c r="I47" s="651">
        <f t="shared" si="0"/>
        <v>37.68</v>
      </c>
      <c r="J47" s="407"/>
    </row>
    <row r="48" spans="2:10" ht="18.75" customHeight="1">
      <c r="B48" s="646" t="s">
        <v>799</v>
      </c>
      <c r="C48" s="654" t="s">
        <v>800</v>
      </c>
      <c r="D48" s="654"/>
      <c r="E48" s="654"/>
      <c r="F48" s="648" t="s">
        <v>120</v>
      </c>
      <c r="G48" s="649">
        <v>10</v>
      </c>
      <c r="H48" s="650">
        <v>3.46</v>
      </c>
      <c r="I48" s="651">
        <f t="shared" si="0"/>
        <v>34.6</v>
      </c>
      <c r="J48" s="407"/>
    </row>
    <row r="49" spans="2:10" ht="18.75" customHeight="1">
      <c r="B49" s="646" t="s">
        <v>801</v>
      </c>
      <c r="C49" s="654" t="s">
        <v>802</v>
      </c>
      <c r="D49" s="654"/>
      <c r="E49" s="654"/>
      <c r="F49" s="648" t="s">
        <v>120</v>
      </c>
      <c r="G49" s="649">
        <v>12</v>
      </c>
      <c r="H49" s="650">
        <v>3.88</v>
      </c>
      <c r="I49" s="651">
        <f t="shared" si="0"/>
        <v>46.56</v>
      </c>
      <c r="J49" s="407"/>
    </row>
    <row r="50" spans="2:10" ht="18.75" customHeight="1">
      <c r="B50" s="646" t="s">
        <v>803</v>
      </c>
      <c r="C50" s="654" t="s">
        <v>804</v>
      </c>
      <c r="D50" s="654"/>
      <c r="E50" s="654"/>
      <c r="F50" s="648" t="s">
        <v>120</v>
      </c>
      <c r="G50" s="649">
        <v>12</v>
      </c>
      <c r="H50" s="650">
        <v>3.3</v>
      </c>
      <c r="I50" s="651">
        <f t="shared" si="0"/>
        <v>39.599999999999994</v>
      </c>
      <c r="J50" s="407"/>
    </row>
    <row r="51" spans="2:10" ht="18.75" customHeight="1">
      <c r="B51" s="820" t="s">
        <v>121</v>
      </c>
      <c r="C51" s="821"/>
      <c r="D51" s="821"/>
      <c r="E51" s="821"/>
      <c r="F51" s="821"/>
      <c r="G51" s="821"/>
      <c r="H51" s="821"/>
      <c r="I51" s="656">
        <f>SUM(I44:I50)</f>
        <v>218.37199999999999</v>
      </c>
      <c r="J51" s="407"/>
    </row>
    <row r="52" spans="2:10" ht="18.75" customHeight="1">
      <c r="B52" s="824" t="s">
        <v>805</v>
      </c>
      <c r="C52" s="825"/>
      <c r="D52" s="825"/>
      <c r="E52" s="825"/>
      <c r="F52" s="825"/>
      <c r="G52" s="825"/>
      <c r="H52" s="825"/>
      <c r="I52" s="826"/>
      <c r="J52" s="407"/>
    </row>
    <row r="53" spans="2:10" ht="33" customHeight="1">
      <c r="B53" s="646" t="s">
        <v>806</v>
      </c>
      <c r="C53" s="854" t="s">
        <v>807</v>
      </c>
      <c r="D53" s="854"/>
      <c r="E53" s="854"/>
      <c r="F53" s="642" t="s">
        <v>786</v>
      </c>
      <c r="G53" s="657">
        <v>0.5</v>
      </c>
      <c r="H53" s="650">
        <v>6.86</v>
      </c>
      <c r="I53" s="651">
        <f aca="true" t="shared" si="1" ref="I53:I60">G53*H53</f>
        <v>3.43</v>
      </c>
      <c r="J53" s="407"/>
    </row>
    <row r="54" spans="2:10" ht="30.75" customHeight="1">
      <c r="B54" s="646" t="s">
        <v>808</v>
      </c>
      <c r="C54" s="854" t="s">
        <v>809</v>
      </c>
      <c r="D54" s="854"/>
      <c r="E54" s="854"/>
      <c r="F54" s="642" t="s">
        <v>786</v>
      </c>
      <c r="G54" s="657">
        <v>0.28</v>
      </c>
      <c r="H54" s="650">
        <v>8.02</v>
      </c>
      <c r="I54" s="651">
        <f t="shared" si="1"/>
        <v>2.2456</v>
      </c>
      <c r="J54" s="407"/>
    </row>
    <row r="55" spans="2:10" ht="31.5" customHeight="1">
      <c r="B55" s="646" t="s">
        <v>810</v>
      </c>
      <c r="C55" s="854" t="s">
        <v>811</v>
      </c>
      <c r="D55" s="854"/>
      <c r="E55" s="854"/>
      <c r="F55" s="642" t="s">
        <v>786</v>
      </c>
      <c r="G55" s="657">
        <v>0.4</v>
      </c>
      <c r="H55" s="650">
        <v>1.49</v>
      </c>
      <c r="I55" s="651">
        <f t="shared" si="1"/>
        <v>0.596</v>
      </c>
      <c r="J55" s="407"/>
    </row>
    <row r="56" spans="2:10" ht="33" customHeight="1">
      <c r="B56" s="646" t="s">
        <v>812</v>
      </c>
      <c r="C56" s="854" t="s">
        <v>813</v>
      </c>
      <c r="D56" s="854"/>
      <c r="E56" s="854"/>
      <c r="F56" s="642" t="s">
        <v>786</v>
      </c>
      <c r="G56" s="657">
        <v>0.6</v>
      </c>
      <c r="H56" s="650">
        <v>1.07</v>
      </c>
      <c r="I56" s="651">
        <f t="shared" si="1"/>
        <v>0.642</v>
      </c>
      <c r="J56" s="407"/>
    </row>
    <row r="57" spans="2:10" ht="30.75" customHeight="1">
      <c r="B57" s="646" t="s">
        <v>814</v>
      </c>
      <c r="C57" s="854" t="s">
        <v>815</v>
      </c>
      <c r="D57" s="854"/>
      <c r="E57" s="854"/>
      <c r="F57" s="642" t="s">
        <v>786</v>
      </c>
      <c r="G57" s="657">
        <v>0.23</v>
      </c>
      <c r="H57" s="650">
        <v>4.4</v>
      </c>
      <c r="I57" s="651">
        <f t="shared" si="1"/>
        <v>1.0120000000000002</v>
      </c>
      <c r="J57" s="407"/>
    </row>
    <row r="58" spans="2:10" ht="28.5" customHeight="1">
      <c r="B58" s="646" t="s">
        <v>816</v>
      </c>
      <c r="C58" s="854" t="s">
        <v>817</v>
      </c>
      <c r="D58" s="854"/>
      <c r="E58" s="854"/>
      <c r="F58" s="642" t="s">
        <v>818</v>
      </c>
      <c r="G58" s="657">
        <v>25.2</v>
      </c>
      <c r="H58" s="650">
        <v>8.3</v>
      </c>
      <c r="I58" s="651">
        <f t="shared" si="1"/>
        <v>209.16000000000003</v>
      </c>
      <c r="J58" s="407"/>
    </row>
    <row r="59" spans="2:10" ht="28.5" customHeight="1">
      <c r="B59" s="646" t="s">
        <v>819</v>
      </c>
      <c r="C59" s="854" t="s">
        <v>820</v>
      </c>
      <c r="D59" s="854"/>
      <c r="E59" s="854"/>
      <c r="F59" s="642" t="s">
        <v>818</v>
      </c>
      <c r="G59" s="657">
        <v>1</v>
      </c>
      <c r="H59" s="650">
        <v>344.88</v>
      </c>
      <c r="I59" s="651">
        <f t="shared" si="1"/>
        <v>344.88</v>
      </c>
      <c r="J59" s="407"/>
    </row>
    <row r="60" spans="2:10" ht="28.5" customHeight="1">
      <c r="B60" s="646" t="s">
        <v>821</v>
      </c>
      <c r="C60" s="854" t="s">
        <v>822</v>
      </c>
      <c r="D60" s="854"/>
      <c r="E60" s="854"/>
      <c r="F60" s="642" t="s">
        <v>823</v>
      </c>
      <c r="G60" s="657">
        <v>14</v>
      </c>
      <c r="H60" s="650">
        <v>45</v>
      </c>
      <c r="I60" s="651">
        <f t="shared" si="1"/>
        <v>630</v>
      </c>
      <c r="J60" s="407"/>
    </row>
    <row r="61" spans="2:10" ht="18.75" customHeight="1">
      <c r="B61" s="820" t="s">
        <v>824</v>
      </c>
      <c r="C61" s="821"/>
      <c r="D61" s="821"/>
      <c r="E61" s="821"/>
      <c r="F61" s="821"/>
      <c r="G61" s="821"/>
      <c r="H61" s="821"/>
      <c r="I61" s="656">
        <f>SUM(I53:I60)</f>
        <v>1191.9656</v>
      </c>
      <c r="J61" s="407"/>
    </row>
    <row r="62" spans="2:10" ht="18.75" customHeight="1">
      <c r="B62" s="658"/>
      <c r="C62" s="659"/>
      <c r="D62" s="659"/>
      <c r="E62" s="659"/>
      <c r="F62" s="659"/>
      <c r="G62" s="659"/>
      <c r="H62" s="659"/>
      <c r="I62" s="660"/>
      <c r="J62" s="407"/>
    </row>
    <row r="63" spans="2:10" ht="18.75" customHeight="1">
      <c r="B63" s="820" t="s">
        <v>122</v>
      </c>
      <c r="C63" s="821"/>
      <c r="D63" s="821"/>
      <c r="E63" s="821"/>
      <c r="F63" s="821"/>
      <c r="G63" s="821"/>
      <c r="H63" s="821"/>
      <c r="I63" s="661">
        <f>I42+I51+I61</f>
        <v>1520.5365865934762</v>
      </c>
      <c r="J63" s="407"/>
    </row>
    <row r="64" spans="2:10" ht="18.75" customHeight="1">
      <c r="B64" s="820" t="s">
        <v>123</v>
      </c>
      <c r="C64" s="821"/>
      <c r="D64" s="821"/>
      <c r="E64" s="821"/>
      <c r="F64" s="821"/>
      <c r="G64" s="821"/>
      <c r="H64" s="821"/>
      <c r="I64" s="315">
        <f>ROUND(I42*$D$14,2)</f>
        <v>98.58</v>
      </c>
      <c r="J64" s="407"/>
    </row>
    <row r="65" spans="2:10" ht="18.75" customHeight="1">
      <c r="B65" s="822" t="s">
        <v>124</v>
      </c>
      <c r="C65" s="823"/>
      <c r="D65" s="823"/>
      <c r="E65" s="823"/>
      <c r="F65" s="823"/>
      <c r="G65" s="823"/>
      <c r="H65" s="823"/>
      <c r="I65" s="662">
        <f>I63+I64</f>
        <v>1619.116586593476</v>
      </c>
      <c r="J65" s="407"/>
    </row>
    <row r="66" spans="2:10" ht="18.75" customHeight="1">
      <c r="B66" s="663"/>
      <c r="C66" s="664"/>
      <c r="D66" s="664"/>
      <c r="E66" s="664"/>
      <c r="F66" s="664"/>
      <c r="G66" s="664"/>
      <c r="H66" s="664"/>
      <c r="I66" s="665"/>
      <c r="J66" s="407"/>
    </row>
    <row r="67" spans="2:10" ht="19.5" customHeight="1">
      <c r="B67" s="812" t="s">
        <v>764</v>
      </c>
      <c r="C67" s="813"/>
      <c r="D67" s="813"/>
      <c r="E67" s="813"/>
      <c r="F67" s="813"/>
      <c r="G67" s="813"/>
      <c r="H67" s="813"/>
      <c r="I67" s="814"/>
      <c r="J67" s="407"/>
    </row>
    <row r="68" spans="2:10" ht="18.75" customHeight="1">
      <c r="B68" s="600" t="s">
        <v>112</v>
      </c>
      <c r="C68" s="601"/>
      <c r="D68" s="305">
        <f>I88</f>
        <v>535.4300000000001</v>
      </c>
      <c r="E68" s="306"/>
      <c r="F68" s="306"/>
      <c r="G68" s="307"/>
      <c r="H68" s="307"/>
      <c r="I68" s="308" t="s">
        <v>865</v>
      </c>
      <c r="J68" s="407"/>
    </row>
    <row r="69" spans="2:10" ht="18.75" customHeight="1">
      <c r="B69" s="817"/>
      <c r="C69" s="818"/>
      <c r="D69" s="818"/>
      <c r="E69" s="818"/>
      <c r="F69" s="818"/>
      <c r="G69" s="818"/>
      <c r="H69" s="818"/>
      <c r="I69" s="819"/>
      <c r="J69" s="407"/>
    </row>
    <row r="70" spans="2:10" ht="18.75" customHeight="1">
      <c r="B70" s="309" t="s">
        <v>40</v>
      </c>
      <c r="C70" s="310" t="s">
        <v>113</v>
      </c>
      <c r="D70" s="310"/>
      <c r="E70" s="310"/>
      <c r="F70" s="310" t="s">
        <v>4</v>
      </c>
      <c r="G70" s="310" t="s">
        <v>114</v>
      </c>
      <c r="H70" s="310" t="s">
        <v>115</v>
      </c>
      <c r="I70" s="311" t="s">
        <v>116</v>
      </c>
      <c r="J70" s="407"/>
    </row>
    <row r="71" spans="2:10" ht="18.75" customHeight="1">
      <c r="B71" s="806" t="s">
        <v>117</v>
      </c>
      <c r="C71" s="807"/>
      <c r="D71" s="807"/>
      <c r="E71" s="807"/>
      <c r="F71" s="807"/>
      <c r="G71" s="807"/>
      <c r="H71" s="807"/>
      <c r="I71" s="808"/>
      <c r="J71" s="407"/>
    </row>
    <row r="72" spans="2:10" ht="18.75" customHeight="1">
      <c r="B72" s="598" t="s">
        <v>766</v>
      </c>
      <c r="C72" s="803" t="s">
        <v>765</v>
      </c>
      <c r="D72" s="803"/>
      <c r="E72" s="803"/>
      <c r="F72" s="599" t="s">
        <v>125</v>
      </c>
      <c r="G72" s="312">
        <v>2.33</v>
      </c>
      <c r="H72" s="312">
        <f>12.77/1.8946</f>
        <v>6.740209015095534</v>
      </c>
      <c r="I72" s="313">
        <f>ROUND(G72*H72,2)</f>
        <v>15.7</v>
      </c>
      <c r="J72" s="407"/>
    </row>
    <row r="73" spans="2:10" ht="18.75" customHeight="1">
      <c r="B73" s="625" t="s">
        <v>624</v>
      </c>
      <c r="C73" s="803" t="s">
        <v>621</v>
      </c>
      <c r="D73" s="803"/>
      <c r="E73" s="803"/>
      <c r="F73" s="626" t="s">
        <v>125</v>
      </c>
      <c r="G73" s="312">
        <v>1.624</v>
      </c>
      <c r="H73" s="312">
        <f>12.91/1.8946</f>
        <v>6.8141032407896125</v>
      </c>
      <c r="I73" s="313">
        <f>ROUND(G73*H73,2)</f>
        <v>11.07</v>
      </c>
      <c r="J73" s="407"/>
    </row>
    <row r="74" spans="2:10" ht="18.75" customHeight="1">
      <c r="B74" s="598" t="s">
        <v>127</v>
      </c>
      <c r="C74" s="597" t="s">
        <v>128</v>
      </c>
      <c r="D74" s="597"/>
      <c r="E74" s="597"/>
      <c r="F74" s="599" t="s">
        <v>125</v>
      </c>
      <c r="G74" s="312">
        <v>3.95</v>
      </c>
      <c r="H74" s="312">
        <f>10.05/1.8946</f>
        <v>5.304549773039164</v>
      </c>
      <c r="I74" s="313">
        <f>ROUND(G74*H74,2)</f>
        <v>20.95</v>
      </c>
      <c r="J74" s="407"/>
    </row>
    <row r="75" spans="2:10" ht="18.75" customHeight="1">
      <c r="B75" s="804" t="s">
        <v>118</v>
      </c>
      <c r="C75" s="805"/>
      <c r="D75" s="805"/>
      <c r="E75" s="805"/>
      <c r="F75" s="805"/>
      <c r="G75" s="805"/>
      <c r="H75" s="805"/>
      <c r="I75" s="314">
        <f>SUM(I72:I74)</f>
        <v>47.72</v>
      </c>
      <c r="J75" s="407"/>
    </row>
    <row r="76" spans="2:10" ht="18.75" customHeight="1">
      <c r="B76" s="806" t="s">
        <v>215</v>
      </c>
      <c r="C76" s="807"/>
      <c r="D76" s="807"/>
      <c r="E76" s="807"/>
      <c r="F76" s="807"/>
      <c r="G76" s="807"/>
      <c r="H76" s="807"/>
      <c r="I76" s="808"/>
      <c r="J76" s="407"/>
    </row>
    <row r="77" spans="2:10" ht="39.75" customHeight="1">
      <c r="B77" s="598" t="s">
        <v>768</v>
      </c>
      <c r="C77" s="803" t="s">
        <v>767</v>
      </c>
      <c r="D77" s="803"/>
      <c r="E77" s="803"/>
      <c r="F77" s="599" t="s">
        <v>713</v>
      </c>
      <c r="G77" s="312">
        <v>0.0116</v>
      </c>
      <c r="H77" s="312">
        <v>433.43</v>
      </c>
      <c r="I77" s="313">
        <f aca="true" t="shared" si="2" ref="I77:I83">ROUND(G77*H77,2)</f>
        <v>5.03</v>
      </c>
      <c r="J77" s="407"/>
    </row>
    <row r="78" spans="2:10" ht="14.25">
      <c r="B78" s="598" t="s">
        <v>781</v>
      </c>
      <c r="C78" s="597" t="s">
        <v>780</v>
      </c>
      <c r="D78" s="597"/>
      <c r="E78" s="597"/>
      <c r="F78" s="599" t="s">
        <v>126</v>
      </c>
      <c r="G78" s="312">
        <v>6</v>
      </c>
      <c r="H78" s="312">
        <v>34.8</v>
      </c>
      <c r="I78" s="313">
        <f t="shared" si="2"/>
        <v>208.8</v>
      </c>
      <c r="J78" s="407"/>
    </row>
    <row r="79" spans="2:10" ht="30" customHeight="1">
      <c r="B79" s="598" t="s">
        <v>770</v>
      </c>
      <c r="C79" s="803" t="s">
        <v>769</v>
      </c>
      <c r="D79" s="803"/>
      <c r="E79" s="803"/>
      <c r="F79" s="599" t="s">
        <v>771</v>
      </c>
      <c r="G79" s="312">
        <v>1.1</v>
      </c>
      <c r="H79" s="312">
        <v>26.52</v>
      </c>
      <c r="I79" s="313">
        <f t="shared" si="2"/>
        <v>29.17</v>
      </c>
      <c r="J79" s="407"/>
    </row>
    <row r="80" spans="2:10" ht="28.5" customHeight="1">
      <c r="B80" s="598" t="s">
        <v>773</v>
      </c>
      <c r="C80" s="803" t="s">
        <v>772</v>
      </c>
      <c r="D80" s="803"/>
      <c r="E80" s="803"/>
      <c r="F80" s="599" t="s">
        <v>126</v>
      </c>
      <c r="G80" s="312">
        <v>6</v>
      </c>
      <c r="H80" s="312">
        <v>0.62</v>
      </c>
      <c r="I80" s="313">
        <f t="shared" si="2"/>
        <v>3.72</v>
      </c>
      <c r="J80" s="407"/>
    </row>
    <row r="81" spans="2:10" ht="27" customHeight="1">
      <c r="B81" s="598" t="s">
        <v>775</v>
      </c>
      <c r="C81" s="803" t="s">
        <v>774</v>
      </c>
      <c r="D81" s="803"/>
      <c r="E81" s="803"/>
      <c r="F81" s="599" t="s">
        <v>126</v>
      </c>
      <c r="G81" s="312">
        <v>2</v>
      </c>
      <c r="H81" s="312">
        <v>79.22</v>
      </c>
      <c r="I81" s="313">
        <f t="shared" si="2"/>
        <v>158.44</v>
      </c>
      <c r="J81" s="407"/>
    </row>
    <row r="82" spans="2:10" ht="28.5" customHeight="1">
      <c r="B82" s="598" t="s">
        <v>777</v>
      </c>
      <c r="C82" s="803" t="s">
        <v>776</v>
      </c>
      <c r="D82" s="803"/>
      <c r="E82" s="803"/>
      <c r="F82" s="599" t="s">
        <v>281</v>
      </c>
      <c r="G82" s="312">
        <v>11.6</v>
      </c>
      <c r="H82" s="312">
        <v>2.95</v>
      </c>
      <c r="I82" s="313">
        <f t="shared" si="2"/>
        <v>34.22</v>
      </c>
      <c r="J82" s="407"/>
    </row>
    <row r="83" spans="2:10" ht="18.75" customHeight="1">
      <c r="B83" s="598" t="s">
        <v>779</v>
      </c>
      <c r="C83" s="597" t="s">
        <v>778</v>
      </c>
      <c r="D83" s="597"/>
      <c r="E83" s="597"/>
      <c r="F83" s="599" t="s">
        <v>120</v>
      </c>
      <c r="G83" s="312">
        <v>0.696</v>
      </c>
      <c r="H83" s="312">
        <v>8.11</v>
      </c>
      <c r="I83" s="313">
        <f t="shared" si="2"/>
        <v>5.64</v>
      </c>
      <c r="J83" s="407"/>
    </row>
    <row r="84" spans="2:10" ht="18.75" customHeight="1">
      <c r="B84" s="804" t="s">
        <v>121</v>
      </c>
      <c r="C84" s="805"/>
      <c r="D84" s="805"/>
      <c r="E84" s="805"/>
      <c r="F84" s="805"/>
      <c r="G84" s="805"/>
      <c r="H84" s="805"/>
      <c r="I84" s="314">
        <f>SUM(I77:I83)</f>
        <v>445.02</v>
      </c>
      <c r="J84" s="407"/>
    </row>
    <row r="85" spans="2:10" ht="18.75" customHeight="1">
      <c r="B85" s="809"/>
      <c r="C85" s="810"/>
      <c r="D85" s="810"/>
      <c r="E85" s="810"/>
      <c r="F85" s="810"/>
      <c r="G85" s="810"/>
      <c r="H85" s="810"/>
      <c r="I85" s="811"/>
      <c r="J85" s="407"/>
    </row>
    <row r="86" spans="2:10" ht="18.75" customHeight="1">
      <c r="B86" s="799" t="s">
        <v>122</v>
      </c>
      <c r="C86" s="800"/>
      <c r="D86" s="800"/>
      <c r="E86" s="800"/>
      <c r="F86" s="800"/>
      <c r="G86" s="800"/>
      <c r="H86" s="800"/>
      <c r="I86" s="315">
        <f>I75+I84</f>
        <v>492.74</v>
      </c>
      <c r="J86" s="407"/>
    </row>
    <row r="87" spans="2:10" ht="18.75" customHeight="1">
      <c r="B87" s="799" t="s">
        <v>123</v>
      </c>
      <c r="C87" s="800"/>
      <c r="D87" s="800"/>
      <c r="E87" s="800"/>
      <c r="F87" s="800"/>
      <c r="G87" s="800"/>
      <c r="H87" s="800"/>
      <c r="I87" s="315">
        <f>ROUND(I75*$D$14,2)</f>
        <v>42.69</v>
      </c>
      <c r="J87" s="407"/>
    </row>
    <row r="88" spans="2:10" ht="18.75" customHeight="1">
      <c r="B88" s="801" t="s">
        <v>124</v>
      </c>
      <c r="C88" s="802"/>
      <c r="D88" s="802"/>
      <c r="E88" s="802"/>
      <c r="F88" s="802"/>
      <c r="G88" s="802"/>
      <c r="H88" s="802"/>
      <c r="I88" s="316">
        <f>I86+I87</f>
        <v>535.4300000000001</v>
      </c>
      <c r="J88" s="407"/>
    </row>
    <row r="89" spans="2:10" ht="18.75" customHeight="1">
      <c r="B89" s="631"/>
      <c r="C89" s="632"/>
      <c r="D89" s="633"/>
      <c r="E89" s="633"/>
      <c r="F89" s="634"/>
      <c r="G89" s="634"/>
      <c r="H89" s="634"/>
      <c r="I89" s="635"/>
      <c r="J89" s="407"/>
    </row>
    <row r="90" spans="2:10" ht="18.75" customHeight="1">
      <c r="B90" s="812" t="s">
        <v>682</v>
      </c>
      <c r="C90" s="813"/>
      <c r="D90" s="813"/>
      <c r="E90" s="813"/>
      <c r="F90" s="813"/>
      <c r="G90" s="813"/>
      <c r="H90" s="813"/>
      <c r="I90" s="814"/>
      <c r="J90" s="407"/>
    </row>
    <row r="91" spans="2:10" ht="18.75" customHeight="1">
      <c r="B91" s="410" t="s">
        <v>112</v>
      </c>
      <c r="C91" s="411"/>
      <c r="D91" s="305">
        <f>I106</f>
        <v>24.82</v>
      </c>
      <c r="E91" s="306"/>
      <c r="F91" s="306"/>
      <c r="G91" s="307"/>
      <c r="H91" s="307"/>
      <c r="I91" s="308" t="s">
        <v>683</v>
      </c>
      <c r="J91" s="407"/>
    </row>
    <row r="92" spans="2:10" ht="18.75" customHeight="1">
      <c r="B92" s="817"/>
      <c r="C92" s="818"/>
      <c r="D92" s="818"/>
      <c r="E92" s="818"/>
      <c r="F92" s="818"/>
      <c r="G92" s="818"/>
      <c r="H92" s="818"/>
      <c r="I92" s="819"/>
      <c r="J92" s="407"/>
    </row>
    <row r="93" spans="2:10" ht="18.75" customHeight="1">
      <c r="B93" s="309" t="s">
        <v>40</v>
      </c>
      <c r="C93" s="310" t="s">
        <v>113</v>
      </c>
      <c r="D93" s="310"/>
      <c r="E93" s="310"/>
      <c r="F93" s="310" t="s">
        <v>4</v>
      </c>
      <c r="G93" s="310" t="s">
        <v>114</v>
      </c>
      <c r="H93" s="310" t="s">
        <v>115</v>
      </c>
      <c r="I93" s="311" t="s">
        <v>116</v>
      </c>
      <c r="J93" s="407"/>
    </row>
    <row r="94" spans="2:10" ht="18.75" customHeight="1">
      <c r="B94" s="806" t="s">
        <v>117</v>
      </c>
      <c r="C94" s="807"/>
      <c r="D94" s="807"/>
      <c r="E94" s="807"/>
      <c r="F94" s="807"/>
      <c r="G94" s="807"/>
      <c r="H94" s="807"/>
      <c r="I94" s="808"/>
      <c r="J94" s="407"/>
    </row>
    <row r="95" spans="2:10" ht="18.75" customHeight="1">
      <c r="B95" s="412" t="s">
        <v>213</v>
      </c>
      <c r="C95" s="803" t="s">
        <v>622</v>
      </c>
      <c r="D95" s="803"/>
      <c r="E95" s="803"/>
      <c r="F95" s="413" t="s">
        <v>125</v>
      </c>
      <c r="G95" s="312">
        <v>0.8</v>
      </c>
      <c r="H95" s="312">
        <f>12.91/1.8946</f>
        <v>6.8141032407896125</v>
      </c>
      <c r="I95" s="313">
        <f>ROUND(G95*H95,2)</f>
        <v>5.45</v>
      </c>
      <c r="J95" s="407"/>
    </row>
    <row r="96" spans="2:10" ht="18.75" customHeight="1">
      <c r="B96" s="412" t="s">
        <v>127</v>
      </c>
      <c r="C96" s="803" t="s">
        <v>623</v>
      </c>
      <c r="D96" s="803"/>
      <c r="E96" s="803"/>
      <c r="F96" s="413" t="s">
        <v>125</v>
      </c>
      <c r="G96" s="312">
        <v>0.8</v>
      </c>
      <c r="H96" s="312">
        <f>10.51/1.8946</f>
        <v>5.5473450860339915</v>
      </c>
      <c r="I96" s="313">
        <f>ROUND(G96*H96,2)</f>
        <v>4.44</v>
      </c>
      <c r="J96" s="407"/>
    </row>
    <row r="97" spans="2:10" ht="18.75" customHeight="1">
      <c r="B97" s="804" t="s">
        <v>118</v>
      </c>
      <c r="C97" s="805"/>
      <c r="D97" s="805"/>
      <c r="E97" s="805"/>
      <c r="F97" s="805"/>
      <c r="G97" s="805"/>
      <c r="H97" s="805"/>
      <c r="I97" s="314">
        <f>SUM(I95:I96)</f>
        <v>9.89</v>
      </c>
      <c r="J97" s="407"/>
    </row>
    <row r="98" spans="2:10" ht="18.75" customHeight="1">
      <c r="B98" s="806" t="s">
        <v>215</v>
      </c>
      <c r="C98" s="807"/>
      <c r="D98" s="807"/>
      <c r="E98" s="807"/>
      <c r="F98" s="807"/>
      <c r="G98" s="807"/>
      <c r="H98" s="807"/>
      <c r="I98" s="808"/>
      <c r="J98" s="407"/>
    </row>
    <row r="99" spans="2:10" ht="18.75" customHeight="1">
      <c r="B99" s="412" t="s">
        <v>687</v>
      </c>
      <c r="C99" s="803" t="s">
        <v>684</v>
      </c>
      <c r="D99" s="803"/>
      <c r="E99" s="803"/>
      <c r="F99" s="413" t="s">
        <v>281</v>
      </c>
      <c r="G99" s="312">
        <v>1.1</v>
      </c>
      <c r="H99" s="312">
        <v>4.6</v>
      </c>
      <c r="I99" s="313">
        <f>ROUND(G99*H99,2)</f>
        <v>5.06</v>
      </c>
      <c r="J99" s="407"/>
    </row>
    <row r="100" spans="2:10" ht="18.75" customHeight="1">
      <c r="B100" s="412" t="s">
        <v>690</v>
      </c>
      <c r="C100" s="803" t="s">
        <v>685</v>
      </c>
      <c r="D100" s="803"/>
      <c r="E100" s="803"/>
      <c r="F100" s="413" t="s">
        <v>126</v>
      </c>
      <c r="G100" s="441">
        <v>0.0128</v>
      </c>
      <c r="H100" s="312">
        <v>34.69</v>
      </c>
      <c r="I100" s="313">
        <f>ROUND(G100*H100,2)</f>
        <v>0.44</v>
      </c>
      <c r="J100" s="407"/>
    </row>
    <row r="101" spans="2:10" ht="18.75" customHeight="1">
      <c r="B101" s="412" t="s">
        <v>688</v>
      </c>
      <c r="C101" s="803" t="s">
        <v>686</v>
      </c>
      <c r="D101" s="803"/>
      <c r="E101" s="803"/>
      <c r="F101" s="413" t="s">
        <v>126</v>
      </c>
      <c r="G101" s="441">
        <v>0.0193</v>
      </c>
      <c r="H101" s="312">
        <v>30.12</v>
      </c>
      <c r="I101" s="313">
        <f>ROUND(G101*H101,2)</f>
        <v>0.58</v>
      </c>
      <c r="J101" s="407"/>
    </row>
    <row r="102" spans="2:10" ht="18.75" customHeight="1">
      <c r="B102" s="804" t="s">
        <v>121</v>
      </c>
      <c r="C102" s="805"/>
      <c r="D102" s="805"/>
      <c r="E102" s="805"/>
      <c r="F102" s="805"/>
      <c r="G102" s="805"/>
      <c r="H102" s="805"/>
      <c r="I102" s="314">
        <f>SUM(I99:I101)</f>
        <v>6.08</v>
      </c>
      <c r="J102" s="407"/>
    </row>
    <row r="103" spans="2:10" ht="18.75" customHeight="1">
      <c r="B103" s="809"/>
      <c r="C103" s="810"/>
      <c r="D103" s="810"/>
      <c r="E103" s="810"/>
      <c r="F103" s="810"/>
      <c r="G103" s="810"/>
      <c r="H103" s="810"/>
      <c r="I103" s="811"/>
      <c r="J103" s="407"/>
    </row>
    <row r="104" spans="2:10" ht="18.75" customHeight="1">
      <c r="B104" s="799" t="s">
        <v>122</v>
      </c>
      <c r="C104" s="800"/>
      <c r="D104" s="800"/>
      <c r="E104" s="800"/>
      <c r="F104" s="800"/>
      <c r="G104" s="800"/>
      <c r="H104" s="800"/>
      <c r="I104" s="315">
        <f>I97+I102</f>
        <v>15.97</v>
      </c>
      <c r="J104" s="407"/>
    </row>
    <row r="105" spans="2:10" ht="18.75" customHeight="1">
      <c r="B105" s="799" t="s">
        <v>123</v>
      </c>
      <c r="C105" s="800"/>
      <c r="D105" s="800"/>
      <c r="E105" s="800"/>
      <c r="F105" s="800"/>
      <c r="G105" s="800"/>
      <c r="H105" s="800"/>
      <c r="I105" s="315">
        <f>ROUND(I97*$D$14,2)</f>
        <v>8.85</v>
      </c>
      <c r="J105" s="407"/>
    </row>
    <row r="106" spans="2:10" ht="18.75" customHeight="1">
      <c r="B106" s="801" t="s">
        <v>124</v>
      </c>
      <c r="C106" s="802"/>
      <c r="D106" s="802"/>
      <c r="E106" s="802"/>
      <c r="F106" s="802"/>
      <c r="G106" s="802"/>
      <c r="H106" s="802"/>
      <c r="I106" s="316">
        <f>I104+I105</f>
        <v>24.82</v>
      </c>
      <c r="J106" s="407"/>
    </row>
    <row r="107" spans="2:10" ht="18.75" customHeight="1">
      <c r="B107" s="317"/>
      <c r="C107" s="303"/>
      <c r="E107" s="319"/>
      <c r="H107" s="303"/>
      <c r="I107" s="303"/>
      <c r="J107" s="407"/>
    </row>
    <row r="108" spans="2:10" ht="18.75" customHeight="1">
      <c r="B108" s="812" t="s">
        <v>699</v>
      </c>
      <c r="C108" s="813"/>
      <c r="D108" s="813"/>
      <c r="E108" s="813"/>
      <c r="F108" s="813"/>
      <c r="G108" s="813"/>
      <c r="H108" s="813"/>
      <c r="I108" s="814"/>
      <c r="J108" s="407"/>
    </row>
    <row r="109" spans="2:10" ht="18.75" customHeight="1">
      <c r="B109" s="410" t="s">
        <v>112</v>
      </c>
      <c r="C109" s="411"/>
      <c r="D109" s="305">
        <f>I124</f>
        <v>26.480000000000004</v>
      </c>
      <c r="E109" s="306"/>
      <c r="F109" s="306"/>
      <c r="G109" s="307"/>
      <c r="H109" s="307"/>
      <c r="I109" s="308" t="s">
        <v>683</v>
      </c>
      <c r="J109" s="407"/>
    </row>
    <row r="110" spans="2:10" ht="18.75" customHeight="1">
      <c r="B110" s="817"/>
      <c r="C110" s="818"/>
      <c r="D110" s="818"/>
      <c r="E110" s="818"/>
      <c r="F110" s="818"/>
      <c r="G110" s="818"/>
      <c r="H110" s="818"/>
      <c r="I110" s="819"/>
      <c r="J110" s="407"/>
    </row>
    <row r="111" spans="2:10" ht="18.75" customHeight="1">
      <c r="B111" s="309" t="s">
        <v>40</v>
      </c>
      <c r="C111" s="310" t="s">
        <v>113</v>
      </c>
      <c r="D111" s="310"/>
      <c r="E111" s="310"/>
      <c r="F111" s="310" t="s">
        <v>4</v>
      </c>
      <c r="G111" s="310" t="s">
        <v>114</v>
      </c>
      <c r="H111" s="310" t="s">
        <v>115</v>
      </c>
      <c r="I111" s="311" t="s">
        <v>116</v>
      </c>
      <c r="J111" s="407"/>
    </row>
    <row r="112" spans="2:10" ht="18.75" customHeight="1">
      <c r="B112" s="806" t="s">
        <v>117</v>
      </c>
      <c r="C112" s="807"/>
      <c r="D112" s="807"/>
      <c r="E112" s="807"/>
      <c r="F112" s="807"/>
      <c r="G112" s="807"/>
      <c r="H112" s="807"/>
      <c r="I112" s="808"/>
      <c r="J112" s="407"/>
    </row>
    <row r="113" spans="2:10" ht="18.75" customHeight="1">
      <c r="B113" s="412" t="s">
        <v>213</v>
      </c>
      <c r="C113" s="803" t="s">
        <v>622</v>
      </c>
      <c r="D113" s="803"/>
      <c r="E113" s="803"/>
      <c r="F113" s="413" t="s">
        <v>125</v>
      </c>
      <c r="G113" s="312">
        <v>0.8</v>
      </c>
      <c r="H113" s="312">
        <f>12.91/1.8946</f>
        <v>6.8141032407896125</v>
      </c>
      <c r="I113" s="313">
        <f>ROUND(G113*H113,2)</f>
        <v>5.45</v>
      </c>
      <c r="J113" s="407"/>
    </row>
    <row r="114" spans="2:10" ht="18.75" customHeight="1">
      <c r="B114" s="412" t="s">
        <v>127</v>
      </c>
      <c r="C114" s="803" t="s">
        <v>623</v>
      </c>
      <c r="D114" s="803"/>
      <c r="E114" s="803"/>
      <c r="F114" s="413" t="s">
        <v>125</v>
      </c>
      <c r="G114" s="312">
        <v>0.8</v>
      </c>
      <c r="H114" s="312">
        <f>10.51/1.8946</f>
        <v>5.5473450860339915</v>
      </c>
      <c r="I114" s="313">
        <f>ROUND(G114*H114,2)</f>
        <v>4.44</v>
      </c>
      <c r="J114" s="407"/>
    </row>
    <row r="115" spans="2:10" ht="18.75" customHeight="1">
      <c r="B115" s="804" t="s">
        <v>118</v>
      </c>
      <c r="C115" s="805"/>
      <c r="D115" s="805"/>
      <c r="E115" s="805"/>
      <c r="F115" s="805"/>
      <c r="G115" s="805"/>
      <c r="H115" s="805"/>
      <c r="I115" s="314">
        <f>SUM(I113:I114)</f>
        <v>9.89</v>
      </c>
      <c r="J115" s="407"/>
    </row>
    <row r="116" spans="2:10" ht="18.75" customHeight="1">
      <c r="B116" s="806" t="s">
        <v>215</v>
      </c>
      <c r="C116" s="807"/>
      <c r="D116" s="807"/>
      <c r="E116" s="807"/>
      <c r="F116" s="807"/>
      <c r="G116" s="807"/>
      <c r="H116" s="807"/>
      <c r="I116" s="808"/>
      <c r="J116" s="407"/>
    </row>
    <row r="117" spans="2:10" ht="18.75" customHeight="1">
      <c r="B117" s="412" t="s">
        <v>689</v>
      </c>
      <c r="C117" s="803" t="s">
        <v>691</v>
      </c>
      <c r="D117" s="803"/>
      <c r="E117" s="803"/>
      <c r="F117" s="413" t="s">
        <v>281</v>
      </c>
      <c r="G117" s="312">
        <v>1.1</v>
      </c>
      <c r="H117" s="312">
        <v>6.11</v>
      </c>
      <c r="I117" s="313">
        <f>ROUND(G117*H117,2)</f>
        <v>6.72</v>
      </c>
      <c r="J117" s="407"/>
    </row>
    <row r="118" spans="2:10" ht="18.75" customHeight="1">
      <c r="B118" s="412" t="s">
        <v>690</v>
      </c>
      <c r="C118" s="803" t="s">
        <v>685</v>
      </c>
      <c r="D118" s="803"/>
      <c r="E118" s="803"/>
      <c r="F118" s="413" t="s">
        <v>126</v>
      </c>
      <c r="G118" s="441">
        <v>0.0128</v>
      </c>
      <c r="H118" s="312">
        <v>34.69</v>
      </c>
      <c r="I118" s="313">
        <f>ROUND(G118*H118,2)</f>
        <v>0.44</v>
      </c>
      <c r="J118" s="407"/>
    </row>
    <row r="119" spans="2:10" ht="18.75" customHeight="1">
      <c r="B119" s="412" t="s">
        <v>688</v>
      </c>
      <c r="C119" s="803" t="s">
        <v>686</v>
      </c>
      <c r="D119" s="803"/>
      <c r="E119" s="803"/>
      <c r="F119" s="413" t="s">
        <v>126</v>
      </c>
      <c r="G119" s="441">
        <v>0.0193</v>
      </c>
      <c r="H119" s="312">
        <v>30.12</v>
      </c>
      <c r="I119" s="313">
        <f>ROUND(G119*H119,2)</f>
        <v>0.58</v>
      </c>
      <c r="J119" s="407"/>
    </row>
    <row r="120" spans="2:10" ht="18.75" customHeight="1">
      <c r="B120" s="804" t="s">
        <v>121</v>
      </c>
      <c r="C120" s="805"/>
      <c r="D120" s="805"/>
      <c r="E120" s="805"/>
      <c r="F120" s="805"/>
      <c r="G120" s="805"/>
      <c r="H120" s="805"/>
      <c r="I120" s="314">
        <f>SUM(I117:I119)</f>
        <v>7.74</v>
      </c>
      <c r="J120" s="407"/>
    </row>
    <row r="121" spans="2:10" ht="18.75" customHeight="1">
      <c r="B121" s="809"/>
      <c r="C121" s="810"/>
      <c r="D121" s="810"/>
      <c r="E121" s="810"/>
      <c r="F121" s="810"/>
      <c r="G121" s="810"/>
      <c r="H121" s="810"/>
      <c r="I121" s="811"/>
      <c r="J121" s="407"/>
    </row>
    <row r="122" spans="2:10" ht="18.75" customHeight="1">
      <c r="B122" s="799" t="s">
        <v>122</v>
      </c>
      <c r="C122" s="800"/>
      <c r="D122" s="800"/>
      <c r="E122" s="800"/>
      <c r="F122" s="800"/>
      <c r="G122" s="800"/>
      <c r="H122" s="800"/>
      <c r="I122" s="315">
        <f>I115+I120</f>
        <v>17.630000000000003</v>
      </c>
      <c r="J122" s="407"/>
    </row>
    <row r="123" spans="2:10" ht="18.75" customHeight="1">
      <c r="B123" s="799" t="s">
        <v>123</v>
      </c>
      <c r="C123" s="800"/>
      <c r="D123" s="800"/>
      <c r="E123" s="800"/>
      <c r="F123" s="800"/>
      <c r="G123" s="800"/>
      <c r="H123" s="800"/>
      <c r="I123" s="315">
        <f>ROUND(I115*$D$14,2)</f>
        <v>8.85</v>
      </c>
      <c r="J123" s="407"/>
    </row>
    <row r="124" spans="2:10" ht="18.75" customHeight="1">
      <c r="B124" s="801" t="s">
        <v>124</v>
      </c>
      <c r="C124" s="802"/>
      <c r="D124" s="802"/>
      <c r="E124" s="802"/>
      <c r="F124" s="802"/>
      <c r="G124" s="802"/>
      <c r="H124" s="802"/>
      <c r="I124" s="316">
        <f>I122+I123</f>
        <v>26.480000000000004</v>
      </c>
      <c r="J124" s="407"/>
    </row>
    <row r="125" spans="2:10" ht="18.75" customHeight="1">
      <c r="B125" s="317"/>
      <c r="C125" s="303"/>
      <c r="E125" s="319"/>
      <c r="H125" s="303"/>
      <c r="I125" s="303"/>
      <c r="J125" s="407"/>
    </row>
    <row r="126" spans="2:10" ht="18.75" customHeight="1">
      <c r="B126" s="812" t="s">
        <v>700</v>
      </c>
      <c r="C126" s="813"/>
      <c r="D126" s="813"/>
      <c r="E126" s="813"/>
      <c r="F126" s="813"/>
      <c r="G126" s="813"/>
      <c r="H126" s="813"/>
      <c r="I126" s="814"/>
      <c r="J126" s="407"/>
    </row>
    <row r="127" spans="2:10" ht="18.75" customHeight="1">
      <c r="B127" s="410" t="s">
        <v>112</v>
      </c>
      <c r="C127" s="411"/>
      <c r="D127" s="305">
        <f>I142</f>
        <v>32.019999999999996</v>
      </c>
      <c r="E127" s="306"/>
      <c r="F127" s="306"/>
      <c r="G127" s="307"/>
      <c r="H127" s="307"/>
      <c r="I127" s="308" t="s">
        <v>683</v>
      </c>
      <c r="J127" s="407"/>
    </row>
    <row r="128" spans="2:10" ht="18.75" customHeight="1">
      <c r="B128" s="817"/>
      <c r="C128" s="818"/>
      <c r="D128" s="818"/>
      <c r="E128" s="818"/>
      <c r="F128" s="818"/>
      <c r="G128" s="818"/>
      <c r="H128" s="818"/>
      <c r="I128" s="819"/>
      <c r="J128" s="407"/>
    </row>
    <row r="129" spans="2:10" ht="18.75" customHeight="1">
      <c r="B129" s="309" t="s">
        <v>40</v>
      </c>
      <c r="C129" s="310" t="s">
        <v>113</v>
      </c>
      <c r="D129" s="310"/>
      <c r="E129" s="310"/>
      <c r="F129" s="310" t="s">
        <v>4</v>
      </c>
      <c r="G129" s="310" t="s">
        <v>114</v>
      </c>
      <c r="H129" s="310" t="s">
        <v>115</v>
      </c>
      <c r="I129" s="311" t="s">
        <v>116</v>
      </c>
      <c r="J129" s="407"/>
    </row>
    <row r="130" spans="2:10" ht="18.75" customHeight="1">
      <c r="B130" s="806" t="s">
        <v>117</v>
      </c>
      <c r="C130" s="807"/>
      <c r="D130" s="807"/>
      <c r="E130" s="807"/>
      <c r="F130" s="807"/>
      <c r="G130" s="807"/>
      <c r="H130" s="807"/>
      <c r="I130" s="808"/>
      <c r="J130" s="407"/>
    </row>
    <row r="131" spans="2:10" ht="18.75" customHeight="1">
      <c r="B131" s="412" t="s">
        <v>213</v>
      </c>
      <c r="C131" s="803" t="s">
        <v>622</v>
      </c>
      <c r="D131" s="803"/>
      <c r="E131" s="803"/>
      <c r="F131" s="413" t="s">
        <v>125</v>
      </c>
      <c r="G131" s="312">
        <v>0.9</v>
      </c>
      <c r="H131" s="312">
        <f>12.91/1.8946</f>
        <v>6.8141032407896125</v>
      </c>
      <c r="I131" s="313">
        <f>ROUND(G131*H131,2)</f>
        <v>6.13</v>
      </c>
      <c r="J131" s="407"/>
    </row>
    <row r="132" spans="2:10" ht="18.75" customHeight="1">
      <c r="B132" s="412" t="s">
        <v>127</v>
      </c>
      <c r="C132" s="803" t="s">
        <v>623</v>
      </c>
      <c r="D132" s="803"/>
      <c r="E132" s="803"/>
      <c r="F132" s="413" t="s">
        <v>125</v>
      </c>
      <c r="G132" s="312">
        <v>0.9</v>
      </c>
      <c r="H132" s="312">
        <f>10.51/1.8946</f>
        <v>5.5473450860339915</v>
      </c>
      <c r="I132" s="313">
        <f>ROUND(G132*H132,2)</f>
        <v>4.99</v>
      </c>
      <c r="J132" s="407"/>
    </row>
    <row r="133" spans="2:10" ht="18.75" customHeight="1">
      <c r="B133" s="804" t="s">
        <v>118</v>
      </c>
      <c r="C133" s="805"/>
      <c r="D133" s="805"/>
      <c r="E133" s="805"/>
      <c r="F133" s="805"/>
      <c r="G133" s="805"/>
      <c r="H133" s="805"/>
      <c r="I133" s="314">
        <f>SUM(I131:I132)</f>
        <v>11.120000000000001</v>
      </c>
      <c r="J133" s="407"/>
    </row>
    <row r="134" spans="2:10" ht="18.75" customHeight="1">
      <c r="B134" s="806" t="s">
        <v>215</v>
      </c>
      <c r="C134" s="807"/>
      <c r="D134" s="807"/>
      <c r="E134" s="807"/>
      <c r="F134" s="807"/>
      <c r="G134" s="807"/>
      <c r="H134" s="807"/>
      <c r="I134" s="808"/>
      <c r="J134" s="407"/>
    </row>
    <row r="135" spans="2:10" ht="18.75" customHeight="1">
      <c r="B135" s="412" t="s">
        <v>693</v>
      </c>
      <c r="C135" s="803" t="s">
        <v>692</v>
      </c>
      <c r="D135" s="803"/>
      <c r="E135" s="803"/>
      <c r="F135" s="413" t="s">
        <v>281</v>
      </c>
      <c r="G135" s="312">
        <v>1.1</v>
      </c>
      <c r="H135" s="312">
        <v>7.78</v>
      </c>
      <c r="I135" s="313">
        <f>ROUND(G135*H135,2)</f>
        <v>8.56</v>
      </c>
      <c r="J135" s="407"/>
    </row>
    <row r="136" spans="2:10" ht="18.75" customHeight="1">
      <c r="B136" s="412" t="s">
        <v>690</v>
      </c>
      <c r="C136" s="803" t="s">
        <v>685</v>
      </c>
      <c r="D136" s="803"/>
      <c r="E136" s="803"/>
      <c r="F136" s="413" t="s">
        <v>126</v>
      </c>
      <c r="G136" s="441">
        <v>0.0293</v>
      </c>
      <c r="H136" s="312">
        <v>34.69</v>
      </c>
      <c r="I136" s="313">
        <f>ROUND(G136*H136,2)</f>
        <v>1.02</v>
      </c>
      <c r="J136" s="407"/>
    </row>
    <row r="137" spans="2:10" ht="18.75" customHeight="1">
      <c r="B137" s="412" t="s">
        <v>688</v>
      </c>
      <c r="C137" s="803" t="s">
        <v>686</v>
      </c>
      <c r="D137" s="803"/>
      <c r="E137" s="803"/>
      <c r="F137" s="413" t="s">
        <v>126</v>
      </c>
      <c r="G137" s="441">
        <v>0.0455</v>
      </c>
      <c r="H137" s="312">
        <v>30.12</v>
      </c>
      <c r="I137" s="313">
        <f>ROUND(G137*H137,2)</f>
        <v>1.37</v>
      </c>
      <c r="J137" s="407"/>
    </row>
    <row r="138" spans="2:10" ht="18.75" customHeight="1">
      <c r="B138" s="804" t="s">
        <v>121</v>
      </c>
      <c r="C138" s="805"/>
      <c r="D138" s="805"/>
      <c r="E138" s="805"/>
      <c r="F138" s="805"/>
      <c r="G138" s="805"/>
      <c r="H138" s="805"/>
      <c r="I138" s="314">
        <f>SUM(I135:I137)</f>
        <v>10.95</v>
      </c>
      <c r="J138" s="407"/>
    </row>
    <row r="139" spans="2:10" ht="18.75" customHeight="1">
      <c r="B139" s="809"/>
      <c r="C139" s="810"/>
      <c r="D139" s="810"/>
      <c r="E139" s="810"/>
      <c r="F139" s="810"/>
      <c r="G139" s="810"/>
      <c r="H139" s="810"/>
      <c r="I139" s="811"/>
      <c r="J139" s="407"/>
    </row>
    <row r="140" spans="2:10" ht="18.75" customHeight="1">
      <c r="B140" s="799" t="s">
        <v>122</v>
      </c>
      <c r="C140" s="800"/>
      <c r="D140" s="800"/>
      <c r="E140" s="800"/>
      <c r="F140" s="800"/>
      <c r="G140" s="800"/>
      <c r="H140" s="800"/>
      <c r="I140" s="315">
        <f>I133+I138</f>
        <v>22.07</v>
      </c>
      <c r="J140" s="407"/>
    </row>
    <row r="141" spans="2:10" ht="18.75" customHeight="1">
      <c r="B141" s="799" t="s">
        <v>123</v>
      </c>
      <c r="C141" s="800"/>
      <c r="D141" s="800"/>
      <c r="E141" s="800"/>
      <c r="F141" s="800"/>
      <c r="G141" s="800"/>
      <c r="H141" s="800"/>
      <c r="I141" s="315">
        <f>ROUND(I133*$D$14,2)</f>
        <v>9.95</v>
      </c>
      <c r="J141" s="407"/>
    </row>
    <row r="142" spans="2:10" ht="18.75" customHeight="1">
      <c r="B142" s="801" t="s">
        <v>124</v>
      </c>
      <c r="C142" s="802"/>
      <c r="D142" s="802"/>
      <c r="E142" s="802"/>
      <c r="F142" s="802"/>
      <c r="G142" s="802"/>
      <c r="H142" s="802"/>
      <c r="I142" s="316">
        <f>I140+I141</f>
        <v>32.019999999999996</v>
      </c>
      <c r="J142" s="407"/>
    </row>
    <row r="143" spans="2:10" ht="18.75" customHeight="1">
      <c r="B143" s="317"/>
      <c r="C143" s="303"/>
      <c r="E143" s="319"/>
      <c r="H143" s="303"/>
      <c r="I143" s="303"/>
      <c r="J143" s="407"/>
    </row>
    <row r="144" spans="2:10" ht="18.75" customHeight="1">
      <c r="B144" s="812" t="s">
        <v>701</v>
      </c>
      <c r="C144" s="813"/>
      <c r="D144" s="813"/>
      <c r="E144" s="813"/>
      <c r="F144" s="813"/>
      <c r="G144" s="813"/>
      <c r="H144" s="813"/>
      <c r="I144" s="814"/>
      <c r="J144" s="407"/>
    </row>
    <row r="145" spans="2:10" ht="18.75" customHeight="1">
      <c r="B145" s="410" t="s">
        <v>112</v>
      </c>
      <c r="C145" s="411"/>
      <c r="D145" s="305">
        <f>I160</f>
        <v>41.69</v>
      </c>
      <c r="E145" s="306"/>
      <c r="F145" s="306"/>
      <c r="G145" s="307"/>
      <c r="H145" s="307"/>
      <c r="I145" s="308" t="s">
        <v>683</v>
      </c>
      <c r="J145" s="407"/>
    </row>
    <row r="146" spans="2:10" ht="18.75" customHeight="1">
      <c r="B146" s="817"/>
      <c r="C146" s="818"/>
      <c r="D146" s="818"/>
      <c r="E146" s="818"/>
      <c r="F146" s="818"/>
      <c r="G146" s="818"/>
      <c r="H146" s="818"/>
      <c r="I146" s="819"/>
      <c r="J146" s="407"/>
    </row>
    <row r="147" spans="2:10" ht="18.75" customHeight="1">
      <c r="B147" s="309" t="s">
        <v>40</v>
      </c>
      <c r="C147" s="310" t="s">
        <v>113</v>
      </c>
      <c r="D147" s="310"/>
      <c r="E147" s="310"/>
      <c r="F147" s="310" t="s">
        <v>4</v>
      </c>
      <c r="G147" s="310" t="s">
        <v>114</v>
      </c>
      <c r="H147" s="310" t="s">
        <v>115</v>
      </c>
      <c r="I147" s="311" t="s">
        <v>116</v>
      </c>
      <c r="J147" s="407"/>
    </row>
    <row r="148" spans="2:10" ht="18.75" customHeight="1">
      <c r="B148" s="806" t="s">
        <v>117</v>
      </c>
      <c r="C148" s="807"/>
      <c r="D148" s="807"/>
      <c r="E148" s="807"/>
      <c r="F148" s="807"/>
      <c r="G148" s="807"/>
      <c r="H148" s="807"/>
      <c r="I148" s="808"/>
      <c r="J148" s="407"/>
    </row>
    <row r="149" spans="2:10" ht="18.75" customHeight="1">
      <c r="B149" s="412" t="s">
        <v>213</v>
      </c>
      <c r="C149" s="803" t="s">
        <v>622</v>
      </c>
      <c r="D149" s="803"/>
      <c r="E149" s="803"/>
      <c r="F149" s="413" t="s">
        <v>125</v>
      </c>
      <c r="G149" s="312">
        <v>1</v>
      </c>
      <c r="H149" s="312">
        <f>12.91/1.8946</f>
        <v>6.8141032407896125</v>
      </c>
      <c r="I149" s="313">
        <f>ROUND(G149*H149,2)</f>
        <v>6.81</v>
      </c>
      <c r="J149" s="407"/>
    </row>
    <row r="150" spans="2:10" ht="18.75" customHeight="1">
      <c r="B150" s="412" t="s">
        <v>127</v>
      </c>
      <c r="C150" s="803" t="s">
        <v>623</v>
      </c>
      <c r="D150" s="803"/>
      <c r="E150" s="803"/>
      <c r="F150" s="413" t="s">
        <v>125</v>
      </c>
      <c r="G150" s="312">
        <v>1</v>
      </c>
      <c r="H150" s="312">
        <f>10.51/1.8946</f>
        <v>5.5473450860339915</v>
      </c>
      <c r="I150" s="313">
        <f>ROUND(G150*H150,2)</f>
        <v>5.55</v>
      </c>
      <c r="J150" s="407"/>
    </row>
    <row r="151" spans="2:10" ht="18.75" customHeight="1">
      <c r="B151" s="804" t="s">
        <v>118</v>
      </c>
      <c r="C151" s="805"/>
      <c r="D151" s="805"/>
      <c r="E151" s="805"/>
      <c r="F151" s="805"/>
      <c r="G151" s="805"/>
      <c r="H151" s="805"/>
      <c r="I151" s="314">
        <f>SUM(I149:I150)</f>
        <v>12.36</v>
      </c>
      <c r="J151" s="407"/>
    </row>
    <row r="152" spans="2:10" ht="18.75" customHeight="1">
      <c r="B152" s="806" t="s">
        <v>215</v>
      </c>
      <c r="C152" s="807"/>
      <c r="D152" s="807"/>
      <c r="E152" s="807"/>
      <c r="F152" s="807"/>
      <c r="G152" s="807"/>
      <c r="H152" s="807"/>
      <c r="I152" s="808"/>
      <c r="J152" s="407"/>
    </row>
    <row r="153" spans="2:10" ht="18.75" customHeight="1">
      <c r="B153" s="412" t="s">
        <v>695</v>
      </c>
      <c r="C153" s="803" t="s">
        <v>694</v>
      </c>
      <c r="D153" s="803"/>
      <c r="E153" s="803"/>
      <c r="F153" s="413" t="s">
        <v>281</v>
      </c>
      <c r="G153" s="312">
        <v>1.1</v>
      </c>
      <c r="H153" s="312">
        <v>13.34</v>
      </c>
      <c r="I153" s="313">
        <f>ROUND(G153*H153,2)</f>
        <v>14.67</v>
      </c>
      <c r="J153" s="407"/>
    </row>
    <row r="154" spans="2:10" ht="18.75" customHeight="1">
      <c r="B154" s="412" t="s">
        <v>690</v>
      </c>
      <c r="C154" s="803" t="s">
        <v>685</v>
      </c>
      <c r="D154" s="803"/>
      <c r="E154" s="803"/>
      <c r="F154" s="413" t="s">
        <v>126</v>
      </c>
      <c r="G154" s="441">
        <v>0.0429</v>
      </c>
      <c r="H154" s="312">
        <v>34.69</v>
      </c>
      <c r="I154" s="313">
        <f>ROUND(G154*H154,2)</f>
        <v>1.49</v>
      </c>
      <c r="J154" s="407"/>
    </row>
    <row r="155" spans="2:10" ht="18.75" customHeight="1">
      <c r="B155" s="412" t="s">
        <v>688</v>
      </c>
      <c r="C155" s="803" t="s">
        <v>686</v>
      </c>
      <c r="D155" s="803"/>
      <c r="E155" s="803"/>
      <c r="F155" s="413" t="s">
        <v>126</v>
      </c>
      <c r="G155" s="441">
        <v>0.0701</v>
      </c>
      <c r="H155" s="312">
        <v>30.12</v>
      </c>
      <c r="I155" s="313">
        <f>ROUND(G155*H155,2)</f>
        <v>2.11</v>
      </c>
      <c r="J155" s="407"/>
    </row>
    <row r="156" spans="2:10" ht="18.75" customHeight="1">
      <c r="B156" s="804" t="s">
        <v>121</v>
      </c>
      <c r="C156" s="805"/>
      <c r="D156" s="805"/>
      <c r="E156" s="805"/>
      <c r="F156" s="805"/>
      <c r="G156" s="805"/>
      <c r="H156" s="805"/>
      <c r="I156" s="314">
        <f>SUM(I153:I155)</f>
        <v>18.27</v>
      </c>
      <c r="J156" s="407"/>
    </row>
    <row r="157" spans="2:10" ht="18.75" customHeight="1">
      <c r="B157" s="809"/>
      <c r="C157" s="810"/>
      <c r="D157" s="810"/>
      <c r="E157" s="810"/>
      <c r="F157" s="810"/>
      <c r="G157" s="810"/>
      <c r="H157" s="810"/>
      <c r="I157" s="811"/>
      <c r="J157" s="407"/>
    </row>
    <row r="158" spans="2:10" ht="18.75" customHeight="1">
      <c r="B158" s="799" t="s">
        <v>122</v>
      </c>
      <c r="C158" s="800"/>
      <c r="D158" s="800"/>
      <c r="E158" s="800"/>
      <c r="F158" s="800"/>
      <c r="G158" s="800"/>
      <c r="H158" s="800"/>
      <c r="I158" s="315">
        <f>I151+I156</f>
        <v>30.63</v>
      </c>
      <c r="J158" s="407"/>
    </row>
    <row r="159" spans="2:10" ht="18.75" customHeight="1">
      <c r="B159" s="799" t="s">
        <v>123</v>
      </c>
      <c r="C159" s="800"/>
      <c r="D159" s="800"/>
      <c r="E159" s="800"/>
      <c r="F159" s="800"/>
      <c r="G159" s="800"/>
      <c r="H159" s="800"/>
      <c r="I159" s="315">
        <f>ROUND(I151*$D$14,2)</f>
        <v>11.06</v>
      </c>
      <c r="J159" s="407"/>
    </row>
    <row r="160" spans="2:10" ht="18.75" customHeight="1">
      <c r="B160" s="801" t="s">
        <v>124</v>
      </c>
      <c r="C160" s="802"/>
      <c r="D160" s="802"/>
      <c r="E160" s="802"/>
      <c r="F160" s="802"/>
      <c r="G160" s="802"/>
      <c r="H160" s="802"/>
      <c r="I160" s="316">
        <f>I158+I159</f>
        <v>41.69</v>
      </c>
      <c r="J160" s="407"/>
    </row>
    <row r="161" spans="2:10" ht="18.75" customHeight="1">
      <c r="B161" s="317"/>
      <c r="C161" s="303"/>
      <c r="E161" s="319"/>
      <c r="H161" s="303"/>
      <c r="I161" s="303"/>
      <c r="J161" s="407"/>
    </row>
    <row r="162" spans="2:10" ht="18.75" customHeight="1">
      <c r="B162" s="812" t="s">
        <v>702</v>
      </c>
      <c r="C162" s="813"/>
      <c r="D162" s="813"/>
      <c r="E162" s="813"/>
      <c r="F162" s="813"/>
      <c r="G162" s="813"/>
      <c r="H162" s="813"/>
      <c r="I162" s="814"/>
      <c r="J162" s="407"/>
    </row>
    <row r="163" spans="2:10" ht="18.75" customHeight="1">
      <c r="B163" s="410" t="s">
        <v>112</v>
      </c>
      <c r="C163" s="411"/>
      <c r="D163" s="305">
        <f>I178</f>
        <v>59.230000000000004</v>
      </c>
      <c r="E163" s="306"/>
      <c r="F163" s="306"/>
      <c r="G163" s="307"/>
      <c r="H163" s="307"/>
      <c r="I163" s="308" t="s">
        <v>683</v>
      </c>
      <c r="J163" s="407"/>
    </row>
    <row r="164" spans="2:10" ht="18.75" customHeight="1">
      <c r="B164" s="817"/>
      <c r="C164" s="818"/>
      <c r="D164" s="818"/>
      <c r="E164" s="818"/>
      <c r="F164" s="818"/>
      <c r="G164" s="818"/>
      <c r="H164" s="818"/>
      <c r="I164" s="819"/>
      <c r="J164" s="407"/>
    </row>
    <row r="165" spans="2:10" ht="18.75" customHeight="1">
      <c r="B165" s="309" t="s">
        <v>40</v>
      </c>
      <c r="C165" s="310" t="s">
        <v>113</v>
      </c>
      <c r="D165" s="310"/>
      <c r="E165" s="310"/>
      <c r="F165" s="310" t="s">
        <v>4</v>
      </c>
      <c r="G165" s="310" t="s">
        <v>114</v>
      </c>
      <c r="H165" s="310" t="s">
        <v>115</v>
      </c>
      <c r="I165" s="311" t="s">
        <v>116</v>
      </c>
      <c r="J165" s="407"/>
    </row>
    <row r="166" spans="2:10" ht="18.75" customHeight="1">
      <c r="B166" s="806" t="s">
        <v>117</v>
      </c>
      <c r="C166" s="807"/>
      <c r="D166" s="807"/>
      <c r="E166" s="807"/>
      <c r="F166" s="807"/>
      <c r="G166" s="807"/>
      <c r="H166" s="807"/>
      <c r="I166" s="808"/>
      <c r="J166" s="407"/>
    </row>
    <row r="167" spans="2:10" ht="18.75" customHeight="1">
      <c r="B167" s="412" t="s">
        <v>213</v>
      </c>
      <c r="C167" s="803" t="s">
        <v>622</v>
      </c>
      <c r="D167" s="803"/>
      <c r="E167" s="803"/>
      <c r="F167" s="413" t="s">
        <v>125</v>
      </c>
      <c r="G167" s="312">
        <v>1.2</v>
      </c>
      <c r="H167" s="312">
        <f>12.91/1.8946</f>
        <v>6.8141032407896125</v>
      </c>
      <c r="I167" s="313">
        <f>ROUND(G167*H167,2)</f>
        <v>8.18</v>
      </c>
      <c r="J167" s="407"/>
    </row>
    <row r="168" spans="2:10" ht="18.75" customHeight="1">
      <c r="B168" s="412" t="s">
        <v>127</v>
      </c>
      <c r="C168" s="803" t="s">
        <v>623</v>
      </c>
      <c r="D168" s="803"/>
      <c r="E168" s="803"/>
      <c r="F168" s="413" t="s">
        <v>125</v>
      </c>
      <c r="G168" s="312">
        <v>1.2</v>
      </c>
      <c r="H168" s="312">
        <f>10.51/1.8946</f>
        <v>5.5473450860339915</v>
      </c>
      <c r="I168" s="313">
        <f>ROUND(G168*H168,2)</f>
        <v>6.66</v>
      </c>
      <c r="J168" s="407"/>
    </row>
    <row r="169" spans="2:10" ht="18.75" customHeight="1">
      <c r="B169" s="804" t="s">
        <v>118</v>
      </c>
      <c r="C169" s="805"/>
      <c r="D169" s="805"/>
      <c r="E169" s="805"/>
      <c r="F169" s="805"/>
      <c r="G169" s="805"/>
      <c r="H169" s="805"/>
      <c r="I169" s="314">
        <f>SUM(I167:I168)</f>
        <v>14.84</v>
      </c>
      <c r="J169" s="407"/>
    </row>
    <row r="170" spans="2:10" ht="18.75" customHeight="1">
      <c r="B170" s="806" t="s">
        <v>215</v>
      </c>
      <c r="C170" s="807"/>
      <c r="D170" s="807"/>
      <c r="E170" s="807"/>
      <c r="F170" s="807"/>
      <c r="G170" s="807"/>
      <c r="H170" s="807"/>
      <c r="I170" s="808"/>
      <c r="J170" s="407"/>
    </row>
    <row r="171" spans="2:10" ht="18.75" customHeight="1">
      <c r="B171" s="412" t="s">
        <v>703</v>
      </c>
      <c r="C171" s="803" t="s">
        <v>705</v>
      </c>
      <c r="D171" s="803"/>
      <c r="E171" s="803"/>
      <c r="F171" s="413" t="s">
        <v>281</v>
      </c>
      <c r="G171" s="312">
        <v>1.1</v>
      </c>
      <c r="H171" s="312">
        <v>27.6</v>
      </c>
      <c r="I171" s="313">
        <f>ROUND(G171*H171,2)</f>
        <v>30.36</v>
      </c>
      <c r="J171" s="407"/>
    </row>
    <row r="172" spans="2:10" ht="18.75" customHeight="1">
      <c r="B172" s="412" t="s">
        <v>690</v>
      </c>
      <c r="C172" s="803" t="s">
        <v>685</v>
      </c>
      <c r="D172" s="803"/>
      <c r="E172" s="803"/>
      <c r="F172" s="413" t="s">
        <v>126</v>
      </c>
      <c r="G172" s="441">
        <v>0.0128</v>
      </c>
      <c r="H172" s="312">
        <v>34.69</v>
      </c>
      <c r="I172" s="313">
        <f>ROUND(G172*H172,2)</f>
        <v>0.44</v>
      </c>
      <c r="J172" s="407"/>
    </row>
    <row r="173" spans="2:10" ht="18.75" customHeight="1">
      <c r="B173" s="412" t="s">
        <v>688</v>
      </c>
      <c r="C173" s="803" t="s">
        <v>686</v>
      </c>
      <c r="D173" s="803"/>
      <c r="E173" s="803"/>
      <c r="F173" s="413" t="s">
        <v>126</v>
      </c>
      <c r="G173" s="441">
        <v>0.0102</v>
      </c>
      <c r="H173" s="312">
        <v>30.12</v>
      </c>
      <c r="I173" s="313">
        <f>ROUND(G173*H173,2)</f>
        <v>0.31</v>
      </c>
      <c r="J173" s="407"/>
    </row>
    <row r="174" spans="2:10" ht="18.75" customHeight="1">
      <c r="B174" s="804" t="s">
        <v>121</v>
      </c>
      <c r="C174" s="805"/>
      <c r="D174" s="805"/>
      <c r="E174" s="805"/>
      <c r="F174" s="805"/>
      <c r="G174" s="805"/>
      <c r="H174" s="805"/>
      <c r="I174" s="314">
        <f>SUM(I171:I173)</f>
        <v>31.11</v>
      </c>
      <c r="J174" s="407"/>
    </row>
    <row r="175" spans="2:10" ht="18.75" customHeight="1">
      <c r="B175" s="809"/>
      <c r="C175" s="810"/>
      <c r="D175" s="810"/>
      <c r="E175" s="810"/>
      <c r="F175" s="810"/>
      <c r="G175" s="810"/>
      <c r="H175" s="810"/>
      <c r="I175" s="811"/>
      <c r="J175" s="407"/>
    </row>
    <row r="176" spans="2:10" ht="18.75" customHeight="1">
      <c r="B176" s="799" t="s">
        <v>122</v>
      </c>
      <c r="C176" s="800"/>
      <c r="D176" s="800"/>
      <c r="E176" s="800"/>
      <c r="F176" s="800"/>
      <c r="G176" s="800"/>
      <c r="H176" s="800"/>
      <c r="I176" s="315">
        <f>I169+I174</f>
        <v>45.95</v>
      </c>
      <c r="J176" s="407"/>
    </row>
    <row r="177" spans="2:10" ht="18.75" customHeight="1">
      <c r="B177" s="799" t="s">
        <v>123</v>
      </c>
      <c r="C177" s="800"/>
      <c r="D177" s="800"/>
      <c r="E177" s="800"/>
      <c r="F177" s="800"/>
      <c r="G177" s="800"/>
      <c r="H177" s="800"/>
      <c r="I177" s="315">
        <f>ROUND(I169*$D$14,2)</f>
        <v>13.28</v>
      </c>
      <c r="J177" s="407"/>
    </row>
    <row r="178" spans="2:10" ht="18.75" customHeight="1">
      <c r="B178" s="801" t="s">
        <v>124</v>
      </c>
      <c r="C178" s="802"/>
      <c r="D178" s="802"/>
      <c r="E178" s="802"/>
      <c r="F178" s="802"/>
      <c r="G178" s="802"/>
      <c r="H178" s="802"/>
      <c r="I178" s="316">
        <f>I176+I177</f>
        <v>59.230000000000004</v>
      </c>
      <c r="J178" s="407"/>
    </row>
    <row r="179" spans="2:10" ht="18.75" customHeight="1">
      <c r="B179" s="317"/>
      <c r="C179" s="303"/>
      <c r="E179" s="319"/>
      <c r="H179" s="303"/>
      <c r="I179" s="303"/>
      <c r="J179" s="407"/>
    </row>
    <row r="180" spans="2:10" ht="18.75" customHeight="1">
      <c r="B180" s="812" t="s">
        <v>704</v>
      </c>
      <c r="C180" s="813"/>
      <c r="D180" s="813"/>
      <c r="E180" s="813"/>
      <c r="F180" s="813"/>
      <c r="G180" s="813"/>
      <c r="H180" s="813"/>
      <c r="I180" s="814"/>
      <c r="J180" s="407"/>
    </row>
    <row r="181" spans="2:10" ht="18.75" customHeight="1">
      <c r="B181" s="410" t="s">
        <v>112</v>
      </c>
      <c r="C181" s="411"/>
      <c r="D181" s="305">
        <f>I199</f>
        <v>85.71</v>
      </c>
      <c r="E181" s="306"/>
      <c r="F181" s="306"/>
      <c r="G181" s="307"/>
      <c r="H181" s="307"/>
      <c r="I181" s="308" t="s">
        <v>683</v>
      </c>
      <c r="J181" s="407"/>
    </row>
    <row r="182" spans="2:10" ht="18.75" customHeight="1">
      <c r="B182" s="817"/>
      <c r="C182" s="818"/>
      <c r="D182" s="818"/>
      <c r="E182" s="818"/>
      <c r="F182" s="818"/>
      <c r="G182" s="818"/>
      <c r="H182" s="818"/>
      <c r="I182" s="819"/>
      <c r="J182" s="407"/>
    </row>
    <row r="183" spans="2:10" ht="18.75" customHeight="1">
      <c r="B183" s="309" t="s">
        <v>40</v>
      </c>
      <c r="C183" s="310" t="s">
        <v>113</v>
      </c>
      <c r="D183" s="310"/>
      <c r="E183" s="310"/>
      <c r="F183" s="310" t="s">
        <v>4</v>
      </c>
      <c r="G183" s="310" t="s">
        <v>114</v>
      </c>
      <c r="H183" s="310" t="s">
        <v>115</v>
      </c>
      <c r="I183" s="311" t="s">
        <v>116</v>
      </c>
      <c r="J183" s="407"/>
    </row>
    <row r="184" spans="2:10" ht="18.75" customHeight="1">
      <c r="B184" s="806" t="s">
        <v>117</v>
      </c>
      <c r="C184" s="807"/>
      <c r="D184" s="807"/>
      <c r="E184" s="807"/>
      <c r="F184" s="807"/>
      <c r="G184" s="807"/>
      <c r="H184" s="807"/>
      <c r="I184" s="808"/>
      <c r="J184" s="407"/>
    </row>
    <row r="185" spans="2:10" ht="18.75" customHeight="1">
      <c r="B185" s="412" t="s">
        <v>714</v>
      </c>
      <c r="C185" s="803" t="s">
        <v>706</v>
      </c>
      <c r="D185" s="803"/>
      <c r="E185" s="803"/>
      <c r="F185" s="413" t="s">
        <v>125</v>
      </c>
      <c r="G185" s="312">
        <v>1.452</v>
      </c>
      <c r="H185" s="312">
        <f>12.91/1.8946</f>
        <v>6.8141032407896125</v>
      </c>
      <c r="I185" s="313">
        <f>ROUND(G185*H185,2)</f>
        <v>9.89</v>
      </c>
      <c r="J185" s="407"/>
    </row>
    <row r="186" spans="2:10" ht="18.75" customHeight="1">
      <c r="B186" s="412" t="s">
        <v>715</v>
      </c>
      <c r="C186" s="803" t="s">
        <v>707</v>
      </c>
      <c r="D186" s="803"/>
      <c r="E186" s="803"/>
      <c r="F186" s="413" t="s">
        <v>125</v>
      </c>
      <c r="G186" s="312">
        <v>1.452</v>
      </c>
      <c r="H186" s="312">
        <f>10.51/1.8946</f>
        <v>5.5473450860339915</v>
      </c>
      <c r="I186" s="313">
        <f>ROUND(G186*H186,2)</f>
        <v>8.05</v>
      </c>
      <c r="J186" s="407"/>
    </row>
    <row r="187" spans="2:10" ht="18.75" customHeight="1">
      <c r="B187" s="412" t="s">
        <v>624</v>
      </c>
      <c r="C187" s="803" t="s">
        <v>621</v>
      </c>
      <c r="D187" s="803"/>
      <c r="E187" s="803"/>
      <c r="F187" s="413" t="s">
        <v>125</v>
      </c>
      <c r="G187" s="312">
        <v>0.33</v>
      </c>
      <c r="H187" s="312">
        <f>12.91/1.8946</f>
        <v>6.8141032407896125</v>
      </c>
      <c r="I187" s="313">
        <f>ROUND(G187*H187,2)</f>
        <v>2.25</v>
      </c>
      <c r="J187" s="407"/>
    </row>
    <row r="188" spans="2:10" ht="18.75" customHeight="1">
      <c r="B188" s="412" t="s">
        <v>127</v>
      </c>
      <c r="C188" s="803" t="s">
        <v>128</v>
      </c>
      <c r="D188" s="803"/>
      <c r="E188" s="803"/>
      <c r="F188" s="413" t="s">
        <v>125</v>
      </c>
      <c r="G188" s="312">
        <v>1.67</v>
      </c>
      <c r="H188" s="312">
        <f>10.05/1.8946</f>
        <v>5.304549773039164</v>
      </c>
      <c r="I188" s="313">
        <f>ROUND(G188*H188,2)</f>
        <v>8.86</v>
      </c>
      <c r="J188" s="407"/>
    </row>
    <row r="189" spans="2:10" ht="18.75" customHeight="1">
      <c r="B189" s="804" t="s">
        <v>118</v>
      </c>
      <c r="C189" s="805"/>
      <c r="D189" s="805"/>
      <c r="E189" s="805"/>
      <c r="F189" s="805"/>
      <c r="G189" s="805"/>
      <c r="H189" s="805"/>
      <c r="I189" s="314">
        <f>SUM(I185:I188)</f>
        <v>29.05</v>
      </c>
      <c r="J189" s="407"/>
    </row>
    <row r="190" spans="2:10" ht="18.75" customHeight="1">
      <c r="B190" s="806" t="s">
        <v>215</v>
      </c>
      <c r="C190" s="807"/>
      <c r="D190" s="807"/>
      <c r="E190" s="807"/>
      <c r="F190" s="807"/>
      <c r="G190" s="807"/>
      <c r="H190" s="807"/>
      <c r="I190" s="808"/>
      <c r="J190" s="407"/>
    </row>
    <row r="191" spans="2:10" ht="18.75" customHeight="1">
      <c r="B191" s="412" t="s">
        <v>719</v>
      </c>
      <c r="C191" s="803" t="s">
        <v>708</v>
      </c>
      <c r="D191" s="803"/>
      <c r="E191" s="803"/>
      <c r="F191" s="413" t="s">
        <v>713</v>
      </c>
      <c r="G191" s="346">
        <v>0.055</v>
      </c>
      <c r="H191" s="312">
        <v>251.35</v>
      </c>
      <c r="I191" s="313">
        <f>ROUND(G191*H191,2)</f>
        <v>13.82</v>
      </c>
      <c r="J191" s="407"/>
    </row>
    <row r="192" spans="2:10" ht="18.75" customHeight="1">
      <c r="B192" s="412" t="s">
        <v>716</v>
      </c>
      <c r="C192" s="803" t="s">
        <v>709</v>
      </c>
      <c r="D192" s="803"/>
      <c r="E192" s="803"/>
      <c r="F192" s="413" t="s">
        <v>281</v>
      </c>
      <c r="G192" s="346">
        <v>2.64</v>
      </c>
      <c r="H192" s="312">
        <v>2.34</v>
      </c>
      <c r="I192" s="313">
        <f>ROUND(G192*H192,2)</f>
        <v>6.18</v>
      </c>
      <c r="J192" s="407"/>
    </row>
    <row r="193" spans="2:10" ht="18.75" customHeight="1">
      <c r="B193" s="412" t="s">
        <v>717</v>
      </c>
      <c r="C193" s="828" t="s">
        <v>710</v>
      </c>
      <c r="D193" s="828"/>
      <c r="E193" s="828"/>
      <c r="F193" s="413" t="s">
        <v>712</v>
      </c>
      <c r="G193" s="346">
        <v>0.66</v>
      </c>
      <c r="H193" s="312">
        <v>13.43</v>
      </c>
      <c r="I193" s="313">
        <f>ROUND(G193*H193,2)</f>
        <v>8.86</v>
      </c>
      <c r="J193" s="407"/>
    </row>
    <row r="194" spans="2:10" ht="18.75" customHeight="1">
      <c r="B194" s="412" t="s">
        <v>718</v>
      </c>
      <c r="C194" s="803" t="s">
        <v>711</v>
      </c>
      <c r="D194" s="803"/>
      <c r="E194" s="803"/>
      <c r="F194" s="413" t="s">
        <v>120</v>
      </c>
      <c r="G194" s="346">
        <v>0.264</v>
      </c>
      <c r="H194" s="312">
        <v>6.87</v>
      </c>
      <c r="I194" s="313">
        <f>ROUND(G194*H194,2)</f>
        <v>1.81</v>
      </c>
      <c r="J194" s="407"/>
    </row>
    <row r="195" spans="2:10" ht="18.75" customHeight="1">
      <c r="B195" s="804" t="s">
        <v>121</v>
      </c>
      <c r="C195" s="805"/>
      <c r="D195" s="805"/>
      <c r="E195" s="805"/>
      <c r="F195" s="805"/>
      <c r="G195" s="805"/>
      <c r="H195" s="805"/>
      <c r="I195" s="314">
        <f>SUM(I191:I194)</f>
        <v>30.669999999999998</v>
      </c>
      <c r="J195" s="407"/>
    </row>
    <row r="196" spans="2:10" ht="18.75" customHeight="1">
      <c r="B196" s="809"/>
      <c r="C196" s="810"/>
      <c r="D196" s="810"/>
      <c r="E196" s="810"/>
      <c r="F196" s="810"/>
      <c r="G196" s="810"/>
      <c r="H196" s="810"/>
      <c r="I196" s="811"/>
      <c r="J196" s="407"/>
    </row>
    <row r="197" spans="2:10" ht="18.75" customHeight="1">
      <c r="B197" s="799" t="s">
        <v>122</v>
      </c>
      <c r="C197" s="800"/>
      <c r="D197" s="800"/>
      <c r="E197" s="800"/>
      <c r="F197" s="800"/>
      <c r="G197" s="800"/>
      <c r="H197" s="800"/>
      <c r="I197" s="315">
        <f>I189+I195</f>
        <v>59.72</v>
      </c>
      <c r="J197" s="407"/>
    </row>
    <row r="198" spans="2:10" ht="18.75" customHeight="1">
      <c r="B198" s="799" t="s">
        <v>123</v>
      </c>
      <c r="C198" s="800"/>
      <c r="D198" s="800"/>
      <c r="E198" s="800"/>
      <c r="F198" s="800"/>
      <c r="G198" s="800"/>
      <c r="H198" s="800"/>
      <c r="I198" s="315">
        <f>ROUND(I189*$D$14,2)</f>
        <v>25.99</v>
      </c>
      <c r="J198" s="407"/>
    </row>
    <row r="199" spans="2:10" ht="18.75" customHeight="1">
      <c r="B199" s="801" t="s">
        <v>124</v>
      </c>
      <c r="C199" s="802"/>
      <c r="D199" s="802"/>
      <c r="E199" s="802"/>
      <c r="F199" s="802"/>
      <c r="G199" s="802"/>
      <c r="H199" s="802"/>
      <c r="I199" s="316">
        <f>I197+I198</f>
        <v>85.71</v>
      </c>
      <c r="J199" s="407"/>
    </row>
    <row r="200" spans="2:10" ht="18.75" customHeight="1">
      <c r="B200" s="317"/>
      <c r="C200" s="303"/>
      <c r="E200" s="319"/>
      <c r="H200" s="303"/>
      <c r="I200" s="303"/>
      <c r="J200" s="407"/>
    </row>
    <row r="201" spans="2:10" ht="18.75" customHeight="1">
      <c r="B201" s="812" t="s">
        <v>704</v>
      </c>
      <c r="C201" s="813"/>
      <c r="D201" s="813"/>
      <c r="E201" s="813"/>
      <c r="F201" s="813"/>
      <c r="G201" s="813"/>
      <c r="H201" s="813"/>
      <c r="I201" s="814"/>
      <c r="J201" s="407"/>
    </row>
    <row r="202" spans="2:10" ht="18.75" customHeight="1">
      <c r="B202" s="410" t="s">
        <v>112</v>
      </c>
      <c r="C202" s="411"/>
      <c r="D202" s="305">
        <f>I218</f>
        <v>196.41000000000003</v>
      </c>
      <c r="E202" s="306"/>
      <c r="F202" s="306"/>
      <c r="G202" s="307"/>
      <c r="H202" s="307"/>
      <c r="I202" s="308" t="s">
        <v>683</v>
      </c>
      <c r="J202" s="407"/>
    </row>
    <row r="203" spans="2:10" ht="18.75" customHeight="1">
      <c r="B203" s="817"/>
      <c r="C203" s="818"/>
      <c r="D203" s="818"/>
      <c r="E203" s="818"/>
      <c r="F203" s="818"/>
      <c r="G203" s="818"/>
      <c r="H203" s="818"/>
      <c r="I203" s="819"/>
      <c r="J203" s="407"/>
    </row>
    <row r="204" spans="2:10" ht="18.75" customHeight="1">
      <c r="B204" s="309" t="s">
        <v>40</v>
      </c>
      <c r="C204" s="310" t="s">
        <v>113</v>
      </c>
      <c r="D204" s="310"/>
      <c r="E204" s="310"/>
      <c r="F204" s="310" t="s">
        <v>4</v>
      </c>
      <c r="G204" s="310" t="s">
        <v>114</v>
      </c>
      <c r="H204" s="310" t="s">
        <v>115</v>
      </c>
      <c r="I204" s="311" t="s">
        <v>116</v>
      </c>
      <c r="J204" s="407"/>
    </row>
    <row r="205" spans="2:10" ht="18.75" customHeight="1">
      <c r="B205" s="806" t="s">
        <v>117</v>
      </c>
      <c r="C205" s="807"/>
      <c r="D205" s="807"/>
      <c r="E205" s="807"/>
      <c r="F205" s="807"/>
      <c r="G205" s="807"/>
      <c r="H205" s="807"/>
      <c r="I205" s="808"/>
      <c r="J205" s="407"/>
    </row>
    <row r="206" spans="2:10" ht="18.75" customHeight="1">
      <c r="B206" s="412" t="s">
        <v>624</v>
      </c>
      <c r="C206" s="803" t="s">
        <v>621</v>
      </c>
      <c r="D206" s="803"/>
      <c r="E206" s="803"/>
      <c r="F206" s="413"/>
      <c r="G206" s="312">
        <v>4.49</v>
      </c>
      <c r="H206" s="312">
        <f>12.91/1.8946</f>
        <v>6.8141032407896125</v>
      </c>
      <c r="I206" s="313">
        <f>ROUND(G206*H206,2)</f>
        <v>30.6</v>
      </c>
      <c r="J206" s="407"/>
    </row>
    <row r="207" spans="2:10" ht="18.75" customHeight="1">
      <c r="B207" s="412" t="s">
        <v>127</v>
      </c>
      <c r="C207" s="803" t="s">
        <v>128</v>
      </c>
      <c r="D207" s="803"/>
      <c r="E207" s="803"/>
      <c r="F207" s="413"/>
      <c r="G207" s="312">
        <v>5.7</v>
      </c>
      <c r="H207" s="312">
        <f>10.05/1.8946</f>
        <v>5.304549773039164</v>
      </c>
      <c r="I207" s="313">
        <f>ROUND(G207*H207,2)</f>
        <v>30.24</v>
      </c>
      <c r="J207" s="407"/>
    </row>
    <row r="208" spans="2:10" ht="18.75" customHeight="1">
      <c r="B208" s="804" t="s">
        <v>118</v>
      </c>
      <c r="C208" s="805"/>
      <c r="D208" s="805"/>
      <c r="E208" s="805"/>
      <c r="F208" s="805"/>
      <c r="G208" s="805"/>
      <c r="H208" s="805"/>
      <c r="I208" s="314">
        <f>SUM(I206:I207)</f>
        <v>60.84</v>
      </c>
      <c r="J208" s="407"/>
    </row>
    <row r="209" spans="2:10" ht="18.75" customHeight="1">
      <c r="B209" s="806" t="s">
        <v>215</v>
      </c>
      <c r="C209" s="807"/>
      <c r="D209" s="807"/>
      <c r="E209" s="807"/>
      <c r="F209" s="807"/>
      <c r="G209" s="807"/>
      <c r="H209" s="807"/>
      <c r="I209" s="808"/>
      <c r="J209" s="407"/>
    </row>
    <row r="210" spans="2:10" ht="18.75" customHeight="1">
      <c r="B210" s="412" t="s">
        <v>724</v>
      </c>
      <c r="C210" s="803" t="s">
        <v>720</v>
      </c>
      <c r="D210" s="803"/>
      <c r="E210" s="803"/>
      <c r="F210" s="413" t="s">
        <v>713</v>
      </c>
      <c r="G210" s="346">
        <v>0.121</v>
      </c>
      <c r="H210" s="312">
        <v>24.5</v>
      </c>
      <c r="I210" s="313">
        <f>ROUND(G210*H210,2)</f>
        <v>2.96</v>
      </c>
      <c r="J210" s="407"/>
    </row>
    <row r="211" spans="2:10" ht="18.75" customHeight="1">
      <c r="B211" s="412" t="s">
        <v>725</v>
      </c>
      <c r="C211" s="803" t="s">
        <v>721</v>
      </c>
      <c r="D211" s="803"/>
      <c r="E211" s="803"/>
      <c r="F211" s="413" t="s">
        <v>120</v>
      </c>
      <c r="G211" s="346">
        <v>13.96</v>
      </c>
      <c r="H211" s="312">
        <v>0.5</v>
      </c>
      <c r="I211" s="313">
        <f>ROUND(G211*H211,2)</f>
        <v>6.98</v>
      </c>
      <c r="J211" s="407"/>
    </row>
    <row r="212" spans="2:10" ht="18.75" customHeight="1">
      <c r="B212" s="412" t="s">
        <v>726</v>
      </c>
      <c r="C212" s="828" t="s">
        <v>722</v>
      </c>
      <c r="D212" s="828"/>
      <c r="E212" s="828"/>
      <c r="F212" s="413" t="s">
        <v>120</v>
      </c>
      <c r="G212" s="346">
        <v>23.94</v>
      </c>
      <c r="H212" s="312">
        <v>0.6</v>
      </c>
      <c r="I212" s="313">
        <f>ROUND(G212*H212,2)</f>
        <v>14.36</v>
      </c>
      <c r="J212" s="407"/>
    </row>
    <row r="213" spans="2:10" ht="18.75" customHeight="1">
      <c r="B213" s="412" t="s">
        <v>727</v>
      </c>
      <c r="C213" s="803" t="s">
        <v>723</v>
      </c>
      <c r="D213" s="803"/>
      <c r="E213" s="803"/>
      <c r="F213" s="413" t="s">
        <v>126</v>
      </c>
      <c r="G213" s="346">
        <v>196</v>
      </c>
      <c r="H213" s="312">
        <v>0.29</v>
      </c>
      <c r="I213" s="313">
        <f>ROUND(G213*H213,2)</f>
        <v>56.84</v>
      </c>
      <c r="J213" s="407"/>
    </row>
    <row r="214" spans="2:10" ht="18.75" customHeight="1">
      <c r="B214" s="804" t="s">
        <v>121</v>
      </c>
      <c r="C214" s="805"/>
      <c r="D214" s="805"/>
      <c r="E214" s="805"/>
      <c r="F214" s="805"/>
      <c r="G214" s="805"/>
      <c r="H214" s="805"/>
      <c r="I214" s="314">
        <f>SUM(I210:I213)</f>
        <v>81.14</v>
      </c>
      <c r="J214" s="407"/>
    </row>
    <row r="215" spans="2:10" ht="18.75" customHeight="1">
      <c r="B215" s="809"/>
      <c r="C215" s="810"/>
      <c r="D215" s="810"/>
      <c r="E215" s="810"/>
      <c r="F215" s="810"/>
      <c r="G215" s="810"/>
      <c r="H215" s="810"/>
      <c r="I215" s="811"/>
      <c r="J215" s="407"/>
    </row>
    <row r="216" spans="2:10" ht="18.75" customHeight="1">
      <c r="B216" s="799" t="s">
        <v>122</v>
      </c>
      <c r="C216" s="800"/>
      <c r="D216" s="800"/>
      <c r="E216" s="800"/>
      <c r="F216" s="800"/>
      <c r="G216" s="800"/>
      <c r="H216" s="800"/>
      <c r="I216" s="315">
        <f>I208+I214</f>
        <v>141.98000000000002</v>
      </c>
      <c r="J216" s="407"/>
    </row>
    <row r="217" spans="2:10" ht="18.75" customHeight="1">
      <c r="B217" s="799" t="s">
        <v>123</v>
      </c>
      <c r="C217" s="800"/>
      <c r="D217" s="800"/>
      <c r="E217" s="800"/>
      <c r="F217" s="800"/>
      <c r="G217" s="800"/>
      <c r="H217" s="800"/>
      <c r="I217" s="315">
        <f>ROUND(I208*$D$14,2)</f>
        <v>54.43</v>
      </c>
      <c r="J217" s="407"/>
    </row>
    <row r="218" spans="2:10" ht="18.75" customHeight="1">
      <c r="B218" s="801" t="s">
        <v>124</v>
      </c>
      <c r="C218" s="802"/>
      <c r="D218" s="802"/>
      <c r="E218" s="802"/>
      <c r="F218" s="802"/>
      <c r="G218" s="802"/>
      <c r="H218" s="802"/>
      <c r="I218" s="316">
        <f>I216+I217</f>
        <v>196.41000000000003</v>
      </c>
      <c r="J218" s="407"/>
    </row>
    <row r="219" spans="2:10" ht="18.75" customHeight="1">
      <c r="B219" s="317"/>
      <c r="C219" s="303"/>
      <c r="E219" s="319"/>
      <c r="H219" s="303"/>
      <c r="I219" s="303"/>
      <c r="J219" s="407"/>
    </row>
    <row r="220" spans="2:10" ht="18.75" customHeight="1">
      <c r="B220" s="812" t="s">
        <v>620</v>
      </c>
      <c r="C220" s="813"/>
      <c r="D220" s="813"/>
      <c r="E220" s="813"/>
      <c r="F220" s="813"/>
      <c r="G220" s="813"/>
      <c r="H220" s="813"/>
      <c r="I220" s="814"/>
      <c r="J220" s="407"/>
    </row>
    <row r="221" spans="2:10" ht="18.75" customHeight="1">
      <c r="B221" s="402" t="s">
        <v>112</v>
      </c>
      <c r="C221" s="403"/>
      <c r="D221" s="305">
        <f>I238</f>
        <v>1170.43</v>
      </c>
      <c r="E221" s="306"/>
      <c r="F221" s="306"/>
      <c r="G221" s="307"/>
      <c r="H221" s="307"/>
      <c r="I221" s="308" t="s">
        <v>633</v>
      </c>
      <c r="J221" s="407"/>
    </row>
    <row r="222" spans="2:10" ht="18.75" customHeight="1">
      <c r="B222" s="817"/>
      <c r="C222" s="818"/>
      <c r="D222" s="818"/>
      <c r="E222" s="818"/>
      <c r="F222" s="818"/>
      <c r="G222" s="818"/>
      <c r="H222" s="818"/>
      <c r="I222" s="819"/>
      <c r="J222" s="407"/>
    </row>
    <row r="223" spans="2:10" ht="18.75" customHeight="1">
      <c r="B223" s="309" t="s">
        <v>40</v>
      </c>
      <c r="C223" s="310" t="s">
        <v>113</v>
      </c>
      <c r="D223" s="310"/>
      <c r="E223" s="310"/>
      <c r="F223" s="310" t="s">
        <v>4</v>
      </c>
      <c r="G223" s="310" t="s">
        <v>114</v>
      </c>
      <c r="H223" s="310" t="s">
        <v>115</v>
      </c>
      <c r="I223" s="311" t="s">
        <v>116</v>
      </c>
      <c r="J223" s="407"/>
    </row>
    <row r="224" spans="2:10" ht="18.75" customHeight="1">
      <c r="B224" s="806" t="s">
        <v>117</v>
      </c>
      <c r="C224" s="807"/>
      <c r="D224" s="807"/>
      <c r="E224" s="807"/>
      <c r="F224" s="807"/>
      <c r="G224" s="807"/>
      <c r="H224" s="807"/>
      <c r="I224" s="808"/>
      <c r="J224" s="407"/>
    </row>
    <row r="225" spans="2:10" ht="18.75" customHeight="1">
      <c r="B225" s="400" t="s">
        <v>624</v>
      </c>
      <c r="C225" s="803" t="s">
        <v>621</v>
      </c>
      <c r="D225" s="803"/>
      <c r="E225" s="803"/>
      <c r="F225" s="401" t="s">
        <v>125</v>
      </c>
      <c r="G225" s="312">
        <v>1.5</v>
      </c>
      <c r="H225" s="312">
        <f>12.91/1.8946</f>
        <v>6.8141032407896125</v>
      </c>
      <c r="I225" s="313">
        <f>ROUND(G225*H225,2)</f>
        <v>10.22</v>
      </c>
      <c r="J225" s="407"/>
    </row>
    <row r="226" spans="2:10" ht="18.75" customHeight="1">
      <c r="B226" s="400" t="s">
        <v>127</v>
      </c>
      <c r="C226" s="803" t="s">
        <v>128</v>
      </c>
      <c r="D226" s="803"/>
      <c r="E226" s="803"/>
      <c r="F226" s="401" t="s">
        <v>125</v>
      </c>
      <c r="G226" s="312">
        <v>1.7</v>
      </c>
      <c r="H226" s="312">
        <f>10.05/1.8946</f>
        <v>5.304549773039164</v>
      </c>
      <c r="I226" s="313">
        <f>ROUND(G226*H226,2)</f>
        <v>9.02</v>
      </c>
      <c r="J226" s="407"/>
    </row>
    <row r="227" spans="2:10" ht="18.75" customHeight="1">
      <c r="B227" s="400" t="s">
        <v>625</v>
      </c>
      <c r="C227" s="803" t="s">
        <v>622</v>
      </c>
      <c r="D227" s="803"/>
      <c r="E227" s="803"/>
      <c r="F227" s="401" t="s">
        <v>125</v>
      </c>
      <c r="G227" s="312">
        <v>6.49</v>
      </c>
      <c r="H227" s="312">
        <f>12.91/1.8946</f>
        <v>6.8141032407896125</v>
      </c>
      <c r="I227" s="313">
        <f>ROUND(G227*H227,2)</f>
        <v>44.22</v>
      </c>
      <c r="J227" s="407"/>
    </row>
    <row r="228" spans="2:10" ht="18.75" customHeight="1">
      <c r="B228" s="400" t="s">
        <v>626</v>
      </c>
      <c r="C228" s="803" t="s">
        <v>623</v>
      </c>
      <c r="D228" s="803"/>
      <c r="E228" s="803"/>
      <c r="F228" s="401" t="s">
        <v>125</v>
      </c>
      <c r="G228" s="312">
        <v>2</v>
      </c>
      <c r="H228" s="312">
        <f>10.51/1.8946</f>
        <v>5.5473450860339915</v>
      </c>
      <c r="I228" s="313">
        <f>ROUND(G228*H228,2)</f>
        <v>11.09</v>
      </c>
      <c r="J228" s="407"/>
    </row>
    <row r="229" spans="2:10" ht="18.75" customHeight="1">
      <c r="B229" s="804" t="s">
        <v>118</v>
      </c>
      <c r="C229" s="805"/>
      <c r="D229" s="805"/>
      <c r="E229" s="805"/>
      <c r="F229" s="805"/>
      <c r="G229" s="805"/>
      <c r="H229" s="805"/>
      <c r="I229" s="314">
        <f>SUM(I225:J228)</f>
        <v>74.55</v>
      </c>
      <c r="J229" s="407"/>
    </row>
    <row r="230" spans="2:10" ht="18.75" customHeight="1">
      <c r="B230" s="806" t="s">
        <v>215</v>
      </c>
      <c r="C230" s="807"/>
      <c r="D230" s="807"/>
      <c r="E230" s="807"/>
      <c r="F230" s="807"/>
      <c r="G230" s="807"/>
      <c r="H230" s="807"/>
      <c r="I230" s="808"/>
      <c r="J230" s="407"/>
    </row>
    <row r="231" spans="2:10" ht="18.75" customHeight="1">
      <c r="B231" s="400" t="s">
        <v>628</v>
      </c>
      <c r="C231" s="803" t="s">
        <v>627</v>
      </c>
      <c r="D231" s="803"/>
      <c r="E231" s="803"/>
      <c r="F231" s="401" t="s">
        <v>126</v>
      </c>
      <c r="G231" s="312">
        <v>1</v>
      </c>
      <c r="H231" s="312">
        <v>982.5</v>
      </c>
      <c r="I231" s="313">
        <f>ROUND(G231*H231,2)</f>
        <v>982.5</v>
      </c>
      <c r="J231" s="407"/>
    </row>
    <row r="232" spans="2:10" ht="26.25" customHeight="1">
      <c r="B232" s="400" t="s">
        <v>631</v>
      </c>
      <c r="C232" s="803" t="s">
        <v>629</v>
      </c>
      <c r="D232" s="803"/>
      <c r="E232" s="803"/>
      <c r="F232" s="401" t="s">
        <v>126</v>
      </c>
      <c r="G232" s="312">
        <v>1</v>
      </c>
      <c r="H232" s="312">
        <v>46.27</v>
      </c>
      <c r="I232" s="313">
        <f>ROUND(G232*H232,2)</f>
        <v>46.27</v>
      </c>
      <c r="J232" s="407"/>
    </row>
    <row r="233" spans="2:10" ht="18.75" customHeight="1">
      <c r="B233" s="400" t="s">
        <v>632</v>
      </c>
      <c r="C233" s="399" t="s">
        <v>630</v>
      </c>
      <c r="D233" s="399"/>
      <c r="E233" s="399"/>
      <c r="F233" s="401" t="s">
        <v>281</v>
      </c>
      <c r="G233" s="312">
        <v>2.82</v>
      </c>
      <c r="H233" s="312">
        <v>0.15</v>
      </c>
      <c r="I233" s="313">
        <f>ROUND(G233*H233,2)</f>
        <v>0.42</v>
      </c>
      <c r="J233" s="407"/>
    </row>
    <row r="234" spans="2:10" ht="18.75" customHeight="1">
      <c r="B234" s="804" t="s">
        <v>121</v>
      </c>
      <c r="C234" s="805"/>
      <c r="D234" s="805"/>
      <c r="E234" s="805"/>
      <c r="F234" s="805"/>
      <c r="G234" s="805"/>
      <c r="H234" s="805"/>
      <c r="I234" s="314">
        <f>SUM(I231:J233)</f>
        <v>1029.19</v>
      </c>
      <c r="J234" s="407"/>
    </row>
    <row r="235" spans="2:10" ht="18.75" customHeight="1">
      <c r="B235" s="809"/>
      <c r="C235" s="810"/>
      <c r="D235" s="810"/>
      <c r="E235" s="810"/>
      <c r="F235" s="810"/>
      <c r="G235" s="810"/>
      <c r="H235" s="810"/>
      <c r="I235" s="811"/>
      <c r="J235" s="407"/>
    </row>
    <row r="236" spans="2:10" ht="18.75" customHeight="1">
      <c r="B236" s="799" t="s">
        <v>122</v>
      </c>
      <c r="C236" s="800"/>
      <c r="D236" s="800"/>
      <c r="E236" s="800"/>
      <c r="F236" s="800"/>
      <c r="G236" s="800"/>
      <c r="H236" s="800"/>
      <c r="I236" s="315">
        <f>I229+I234</f>
        <v>1103.74</v>
      </c>
      <c r="J236" s="407"/>
    </row>
    <row r="237" spans="2:10" ht="18.75" customHeight="1">
      <c r="B237" s="799" t="s">
        <v>123</v>
      </c>
      <c r="C237" s="800"/>
      <c r="D237" s="800"/>
      <c r="E237" s="800"/>
      <c r="F237" s="800"/>
      <c r="G237" s="800"/>
      <c r="H237" s="800"/>
      <c r="I237" s="315">
        <f>ROUND(I229*$D$14,2)</f>
        <v>66.69</v>
      </c>
      <c r="J237" s="407"/>
    </row>
    <row r="238" spans="2:9" ht="18" customHeight="1">
      <c r="B238" s="801" t="s">
        <v>124</v>
      </c>
      <c r="C238" s="802"/>
      <c r="D238" s="802"/>
      <c r="E238" s="802"/>
      <c r="F238" s="802"/>
      <c r="G238" s="802"/>
      <c r="H238" s="802"/>
      <c r="I238" s="316">
        <f>I236+I237</f>
        <v>1170.43</v>
      </c>
    </row>
    <row r="239" spans="2:9" ht="18" customHeight="1">
      <c r="B239" s="317"/>
      <c r="C239" s="303"/>
      <c r="E239" s="319"/>
      <c r="H239" s="303"/>
      <c r="I239" s="303"/>
    </row>
    <row r="240" spans="2:9" ht="18" customHeight="1">
      <c r="B240" s="812" t="s">
        <v>1062</v>
      </c>
      <c r="C240" s="813"/>
      <c r="D240" s="813"/>
      <c r="E240" s="813"/>
      <c r="F240" s="813"/>
      <c r="G240" s="813"/>
      <c r="H240" s="813"/>
      <c r="I240" s="814"/>
    </row>
    <row r="241" spans="2:9" ht="18" customHeight="1">
      <c r="B241" s="439" t="s">
        <v>112</v>
      </c>
      <c r="C241" s="440"/>
      <c r="D241" s="305">
        <f>I257</f>
        <v>36.44</v>
      </c>
      <c r="E241" s="306"/>
      <c r="F241" s="306"/>
      <c r="G241" s="307"/>
      <c r="H241" s="307"/>
      <c r="I241" s="308" t="s">
        <v>134</v>
      </c>
    </row>
    <row r="242" spans="2:9" ht="18" customHeight="1">
      <c r="B242" s="817"/>
      <c r="C242" s="818"/>
      <c r="D242" s="818"/>
      <c r="E242" s="818"/>
      <c r="F242" s="818"/>
      <c r="G242" s="818"/>
      <c r="H242" s="818"/>
      <c r="I242" s="819"/>
    </row>
    <row r="243" spans="2:9" ht="18" customHeight="1">
      <c r="B243" s="309" t="s">
        <v>40</v>
      </c>
      <c r="C243" s="310" t="s">
        <v>113</v>
      </c>
      <c r="D243" s="310"/>
      <c r="E243" s="310"/>
      <c r="F243" s="310" t="s">
        <v>4</v>
      </c>
      <c r="G243" s="310" t="s">
        <v>114</v>
      </c>
      <c r="H243" s="310" t="s">
        <v>115</v>
      </c>
      <c r="I243" s="311" t="s">
        <v>116</v>
      </c>
    </row>
    <row r="244" spans="2:9" ht="18" customHeight="1">
      <c r="B244" s="806" t="s">
        <v>117</v>
      </c>
      <c r="C244" s="807"/>
      <c r="D244" s="807"/>
      <c r="E244" s="807"/>
      <c r="F244" s="807"/>
      <c r="G244" s="807"/>
      <c r="H244" s="807"/>
      <c r="I244" s="808"/>
    </row>
    <row r="245" spans="2:9" ht="18" customHeight="1">
      <c r="B245" s="437" t="s">
        <v>624</v>
      </c>
      <c r="C245" s="803" t="s">
        <v>621</v>
      </c>
      <c r="D245" s="803"/>
      <c r="E245" s="803"/>
      <c r="F245" s="438" t="s">
        <v>125</v>
      </c>
      <c r="G245" s="312">
        <v>0.74</v>
      </c>
      <c r="H245" s="312">
        <f>12.91/1.8946</f>
        <v>6.8141032407896125</v>
      </c>
      <c r="I245" s="313">
        <f>ROUND(G245*H245,2)</f>
        <v>5.04</v>
      </c>
    </row>
    <row r="246" spans="2:9" ht="18" customHeight="1">
      <c r="B246" s="437" t="s">
        <v>127</v>
      </c>
      <c r="C246" s="803" t="s">
        <v>128</v>
      </c>
      <c r="D246" s="803"/>
      <c r="E246" s="803"/>
      <c r="F246" s="438" t="s">
        <v>125</v>
      </c>
      <c r="G246" s="312">
        <v>0.89</v>
      </c>
      <c r="H246" s="312">
        <f>10.05/1.8946</f>
        <v>5.304549773039164</v>
      </c>
      <c r="I246" s="313">
        <f>ROUND(G246*H246,2)</f>
        <v>4.72</v>
      </c>
    </row>
    <row r="247" spans="2:9" ht="18" customHeight="1">
      <c r="B247" s="804" t="s">
        <v>118</v>
      </c>
      <c r="C247" s="805"/>
      <c r="D247" s="805"/>
      <c r="E247" s="805"/>
      <c r="F247" s="805"/>
      <c r="G247" s="805"/>
      <c r="H247" s="805"/>
      <c r="I247" s="314">
        <f>SUM(I245:J246)</f>
        <v>9.76</v>
      </c>
    </row>
    <row r="248" spans="2:9" ht="18" customHeight="1">
      <c r="B248" s="806" t="s">
        <v>215</v>
      </c>
      <c r="C248" s="807"/>
      <c r="D248" s="807"/>
      <c r="E248" s="807"/>
      <c r="F248" s="807"/>
      <c r="G248" s="807"/>
      <c r="H248" s="807"/>
      <c r="I248" s="808"/>
    </row>
    <row r="249" spans="2:9" ht="18" customHeight="1">
      <c r="B249" s="437" t="s">
        <v>724</v>
      </c>
      <c r="C249" s="803" t="s">
        <v>720</v>
      </c>
      <c r="D249" s="803"/>
      <c r="E249" s="803"/>
      <c r="F249" s="438" t="s">
        <v>713</v>
      </c>
      <c r="G249" s="312">
        <v>0.01005</v>
      </c>
      <c r="H249" s="312">
        <v>24.5</v>
      </c>
      <c r="I249" s="313">
        <f>ROUND(G249*H249,2)</f>
        <v>0.25</v>
      </c>
    </row>
    <row r="250" spans="2:9" ht="14.25">
      <c r="B250" s="437" t="s">
        <v>725</v>
      </c>
      <c r="C250" s="803" t="s">
        <v>721</v>
      </c>
      <c r="D250" s="803"/>
      <c r="E250" s="803"/>
      <c r="F250" s="438" t="s">
        <v>120</v>
      </c>
      <c r="G250" s="312">
        <v>4.26972</v>
      </c>
      <c r="H250" s="312">
        <v>0.5</v>
      </c>
      <c r="I250" s="313">
        <f>ROUND(G250*H250,2)</f>
        <v>2.13</v>
      </c>
    </row>
    <row r="251" spans="2:9" ht="18" customHeight="1">
      <c r="B251" s="437" t="s">
        <v>726</v>
      </c>
      <c r="C251" s="828" t="s">
        <v>722</v>
      </c>
      <c r="D251" s="828"/>
      <c r="E251" s="828"/>
      <c r="F251" s="438" t="s">
        <v>120</v>
      </c>
      <c r="G251" s="312">
        <v>1.2558</v>
      </c>
      <c r="H251" s="312">
        <v>0.6</v>
      </c>
      <c r="I251" s="313">
        <f>ROUND(G251*H251,2)</f>
        <v>0.75</v>
      </c>
    </row>
    <row r="252" spans="2:9" ht="18" customHeight="1">
      <c r="B252" s="437" t="s">
        <v>737</v>
      </c>
      <c r="C252" s="436" t="s">
        <v>736</v>
      </c>
      <c r="D252" s="436"/>
      <c r="E252" s="436"/>
      <c r="F252" s="438"/>
      <c r="G252" s="312">
        <v>26</v>
      </c>
      <c r="H252" s="312">
        <v>0.57</v>
      </c>
      <c r="I252" s="313">
        <f>ROUND(G252*H252,2)</f>
        <v>14.82</v>
      </c>
    </row>
    <row r="253" spans="2:9" ht="18" customHeight="1">
      <c r="B253" s="804" t="s">
        <v>121</v>
      </c>
      <c r="C253" s="805"/>
      <c r="D253" s="805"/>
      <c r="E253" s="805"/>
      <c r="F253" s="805"/>
      <c r="G253" s="805"/>
      <c r="H253" s="805"/>
      <c r="I253" s="314">
        <f>SUM(I249:J252)</f>
        <v>17.95</v>
      </c>
    </row>
    <row r="254" spans="2:9" ht="18" customHeight="1">
      <c r="B254" s="809"/>
      <c r="C254" s="810"/>
      <c r="D254" s="810"/>
      <c r="E254" s="810"/>
      <c r="F254" s="810"/>
      <c r="G254" s="810"/>
      <c r="H254" s="810"/>
      <c r="I254" s="811"/>
    </row>
    <row r="255" spans="2:9" ht="18" customHeight="1">
      <c r="B255" s="799" t="s">
        <v>122</v>
      </c>
      <c r="C255" s="800"/>
      <c r="D255" s="800"/>
      <c r="E255" s="800"/>
      <c r="F255" s="800"/>
      <c r="G255" s="800"/>
      <c r="H255" s="800"/>
      <c r="I255" s="315">
        <f>I247+I253</f>
        <v>27.71</v>
      </c>
    </row>
    <row r="256" spans="2:9" ht="18" customHeight="1">
      <c r="B256" s="799" t="s">
        <v>123</v>
      </c>
      <c r="C256" s="800"/>
      <c r="D256" s="800"/>
      <c r="E256" s="800"/>
      <c r="F256" s="800"/>
      <c r="G256" s="800"/>
      <c r="H256" s="800"/>
      <c r="I256" s="315">
        <f>ROUND(I247*$D$14,2)</f>
        <v>8.73</v>
      </c>
    </row>
    <row r="257" spans="2:9" ht="18" customHeight="1">
      <c r="B257" s="801" t="s">
        <v>124</v>
      </c>
      <c r="C257" s="802"/>
      <c r="D257" s="802"/>
      <c r="E257" s="802"/>
      <c r="F257" s="802"/>
      <c r="G257" s="802"/>
      <c r="H257" s="802"/>
      <c r="I257" s="316">
        <f>I255+I256</f>
        <v>36.44</v>
      </c>
    </row>
    <row r="258" spans="2:9" ht="18" customHeight="1">
      <c r="B258" s="317"/>
      <c r="C258" s="303"/>
      <c r="E258" s="319"/>
      <c r="H258" s="303"/>
      <c r="I258" s="303"/>
    </row>
    <row r="259" spans="2:9" ht="18" customHeight="1">
      <c r="B259" s="812" t="s">
        <v>917</v>
      </c>
      <c r="C259" s="813"/>
      <c r="D259" s="813"/>
      <c r="E259" s="813"/>
      <c r="F259" s="813"/>
      <c r="G259" s="813"/>
      <c r="H259" s="813"/>
      <c r="I259" s="814"/>
    </row>
    <row r="260" spans="2:9" ht="18" customHeight="1">
      <c r="B260" s="714" t="s">
        <v>112</v>
      </c>
      <c r="C260" s="715"/>
      <c r="D260" s="305">
        <f>I273</f>
        <v>174.49000000000004</v>
      </c>
      <c r="E260" s="306"/>
      <c r="F260" s="306"/>
      <c r="G260" s="307"/>
      <c r="H260" s="307"/>
      <c r="I260" s="308" t="s">
        <v>134</v>
      </c>
    </row>
    <row r="261" spans="2:9" ht="18" customHeight="1">
      <c r="B261" s="817"/>
      <c r="C261" s="818"/>
      <c r="D261" s="818"/>
      <c r="E261" s="818"/>
      <c r="F261" s="818"/>
      <c r="G261" s="818"/>
      <c r="H261" s="818"/>
      <c r="I261" s="819"/>
    </row>
    <row r="262" spans="2:9" ht="18" customHeight="1">
      <c r="B262" s="309" t="s">
        <v>40</v>
      </c>
      <c r="C262" s="310" t="s">
        <v>113</v>
      </c>
      <c r="D262" s="310"/>
      <c r="E262" s="310"/>
      <c r="F262" s="310" t="s">
        <v>4</v>
      </c>
      <c r="G262" s="310" t="s">
        <v>114</v>
      </c>
      <c r="H262" s="310" t="s">
        <v>115</v>
      </c>
      <c r="I262" s="311" t="s">
        <v>116</v>
      </c>
    </row>
    <row r="263" spans="2:9" ht="18" customHeight="1">
      <c r="B263" s="806" t="s">
        <v>117</v>
      </c>
      <c r="C263" s="807"/>
      <c r="D263" s="807"/>
      <c r="E263" s="807"/>
      <c r="F263" s="807"/>
      <c r="G263" s="807"/>
      <c r="H263" s="807"/>
      <c r="I263" s="808"/>
    </row>
    <row r="264" spans="2:9" ht="18" customHeight="1">
      <c r="B264" s="712" t="s">
        <v>766</v>
      </c>
      <c r="C264" s="803" t="s">
        <v>765</v>
      </c>
      <c r="D264" s="803"/>
      <c r="E264" s="803"/>
      <c r="F264" s="713" t="s">
        <v>125</v>
      </c>
      <c r="G264" s="312">
        <v>0.18</v>
      </c>
      <c r="H264" s="312">
        <f>12.77/1.8946</f>
        <v>6.740209015095534</v>
      </c>
      <c r="I264" s="313">
        <f>ROUND(G264*H264,2)</f>
        <v>1.21</v>
      </c>
    </row>
    <row r="265" spans="2:9" ht="18" customHeight="1">
      <c r="B265" s="804" t="s">
        <v>118</v>
      </c>
      <c r="C265" s="805"/>
      <c r="D265" s="805"/>
      <c r="E265" s="805"/>
      <c r="F265" s="805"/>
      <c r="G265" s="805"/>
      <c r="H265" s="805"/>
      <c r="I265" s="314">
        <f>SUM(I264:J264)</f>
        <v>1.21</v>
      </c>
    </row>
    <row r="266" spans="2:9" ht="18" customHeight="1">
      <c r="B266" s="806" t="s">
        <v>215</v>
      </c>
      <c r="C266" s="807"/>
      <c r="D266" s="807"/>
      <c r="E266" s="807"/>
      <c r="F266" s="807"/>
      <c r="G266" s="807"/>
      <c r="H266" s="807"/>
      <c r="I266" s="808"/>
    </row>
    <row r="267" spans="2:9" ht="18" customHeight="1">
      <c r="B267" s="712" t="s">
        <v>916</v>
      </c>
      <c r="C267" s="803" t="s">
        <v>917</v>
      </c>
      <c r="D267" s="803"/>
      <c r="E267" s="803"/>
      <c r="F267" s="713" t="s">
        <v>712</v>
      </c>
      <c r="G267" s="312">
        <v>1.05</v>
      </c>
      <c r="H267" s="312">
        <v>133.32</v>
      </c>
      <c r="I267" s="313">
        <f>ROUND(G267*H267,2)</f>
        <v>139.99</v>
      </c>
    </row>
    <row r="268" spans="2:9" ht="18" customHeight="1">
      <c r="B268" s="712" t="s">
        <v>919</v>
      </c>
      <c r="C268" s="803" t="s">
        <v>918</v>
      </c>
      <c r="D268" s="803"/>
      <c r="E268" s="803"/>
      <c r="F268" s="713" t="s">
        <v>120</v>
      </c>
      <c r="G268" s="312">
        <v>0.9</v>
      </c>
      <c r="H268" s="312">
        <v>35.79</v>
      </c>
      <c r="I268" s="313">
        <f>ROUND(G268*H268,2)</f>
        <v>32.21</v>
      </c>
    </row>
    <row r="269" spans="2:9" ht="18" customHeight="1">
      <c r="B269" s="804" t="s">
        <v>121</v>
      </c>
      <c r="C269" s="805"/>
      <c r="D269" s="805"/>
      <c r="E269" s="805"/>
      <c r="F269" s="805"/>
      <c r="G269" s="805"/>
      <c r="H269" s="805"/>
      <c r="I269" s="314">
        <f>SUM(I267:J268)</f>
        <v>172.20000000000002</v>
      </c>
    </row>
    <row r="270" spans="2:9" ht="18" customHeight="1">
      <c r="B270" s="809"/>
      <c r="C270" s="810"/>
      <c r="D270" s="810"/>
      <c r="E270" s="810"/>
      <c r="F270" s="810"/>
      <c r="G270" s="810"/>
      <c r="H270" s="810"/>
      <c r="I270" s="811"/>
    </row>
    <row r="271" spans="2:9" ht="18" customHeight="1">
      <c r="B271" s="799" t="s">
        <v>122</v>
      </c>
      <c r="C271" s="800"/>
      <c r="D271" s="800"/>
      <c r="E271" s="800"/>
      <c r="F271" s="800"/>
      <c r="G271" s="800"/>
      <c r="H271" s="800"/>
      <c r="I271" s="315">
        <f>I265+I269</f>
        <v>173.41000000000003</v>
      </c>
    </row>
    <row r="272" spans="2:9" ht="18" customHeight="1">
      <c r="B272" s="799" t="s">
        <v>123</v>
      </c>
      <c r="C272" s="800"/>
      <c r="D272" s="800"/>
      <c r="E272" s="800"/>
      <c r="F272" s="800"/>
      <c r="G272" s="800"/>
      <c r="H272" s="800"/>
      <c r="I272" s="315">
        <f>ROUND(I265*$D$14,2)</f>
        <v>1.08</v>
      </c>
    </row>
    <row r="273" spans="2:9" ht="18" customHeight="1">
      <c r="B273" s="801" t="s">
        <v>124</v>
      </c>
      <c r="C273" s="802"/>
      <c r="D273" s="802"/>
      <c r="E273" s="802"/>
      <c r="F273" s="802"/>
      <c r="G273" s="802"/>
      <c r="H273" s="802"/>
      <c r="I273" s="316">
        <f>I271+I272</f>
        <v>174.49000000000004</v>
      </c>
    </row>
    <row r="274" spans="2:9" ht="18" customHeight="1">
      <c r="B274" s="26"/>
      <c r="C274" s="20"/>
      <c r="D274" s="27"/>
      <c r="E274" s="28"/>
      <c r="F274" s="29"/>
      <c r="G274" s="29"/>
      <c r="H274" s="20"/>
      <c r="I274" s="20"/>
    </row>
    <row r="275" spans="2:9" ht="18" customHeight="1">
      <c r="B275" s="812" t="s">
        <v>224</v>
      </c>
      <c r="C275" s="813"/>
      <c r="D275" s="813"/>
      <c r="E275" s="813"/>
      <c r="F275" s="813"/>
      <c r="G275" s="813"/>
      <c r="H275" s="813"/>
      <c r="I275" s="814"/>
    </row>
    <row r="276" spans="2:9" ht="18" customHeight="1">
      <c r="B276" s="402" t="s">
        <v>112</v>
      </c>
      <c r="C276" s="403"/>
      <c r="D276" s="305">
        <f>I291</f>
        <v>56.06</v>
      </c>
      <c r="E276" s="306"/>
      <c r="F276" s="306"/>
      <c r="G276" s="307"/>
      <c r="H276" s="307"/>
      <c r="I276" s="308" t="s">
        <v>134</v>
      </c>
    </row>
    <row r="277" spans="2:9" ht="18" customHeight="1">
      <c r="B277" s="817"/>
      <c r="C277" s="818"/>
      <c r="D277" s="818"/>
      <c r="E277" s="818"/>
      <c r="F277" s="818"/>
      <c r="G277" s="818"/>
      <c r="H277" s="818"/>
      <c r="I277" s="819"/>
    </row>
    <row r="278" spans="2:9" ht="18" customHeight="1">
      <c r="B278" s="309" t="s">
        <v>40</v>
      </c>
      <c r="C278" s="310" t="s">
        <v>113</v>
      </c>
      <c r="D278" s="310"/>
      <c r="E278" s="310"/>
      <c r="F278" s="310" t="s">
        <v>4</v>
      </c>
      <c r="G278" s="310" t="s">
        <v>114</v>
      </c>
      <c r="H278" s="310" t="s">
        <v>115</v>
      </c>
      <c r="I278" s="311" t="s">
        <v>116</v>
      </c>
    </row>
    <row r="279" spans="2:9" ht="18" customHeight="1">
      <c r="B279" s="806" t="s">
        <v>117</v>
      </c>
      <c r="C279" s="807"/>
      <c r="D279" s="807"/>
      <c r="E279" s="807"/>
      <c r="F279" s="807"/>
      <c r="G279" s="807"/>
      <c r="H279" s="807"/>
      <c r="I279" s="808"/>
    </row>
    <row r="280" spans="2:9" ht="18" customHeight="1">
      <c r="B280" s="344" t="s">
        <v>213</v>
      </c>
      <c r="C280" s="803" t="s">
        <v>214</v>
      </c>
      <c r="D280" s="803"/>
      <c r="E280" s="803"/>
      <c r="F280" s="345" t="s">
        <v>125</v>
      </c>
      <c r="G280" s="312">
        <v>1.4</v>
      </c>
      <c r="H280" s="312">
        <f>12.04/1.8946</f>
        <v>6.354903409690699</v>
      </c>
      <c r="I280" s="313">
        <f>ROUND(G280*H280,2)</f>
        <v>8.9</v>
      </c>
    </row>
    <row r="281" spans="2:9" ht="18" customHeight="1">
      <c r="B281" s="344" t="s">
        <v>127</v>
      </c>
      <c r="C281" s="803" t="s">
        <v>128</v>
      </c>
      <c r="D281" s="803"/>
      <c r="E281" s="803"/>
      <c r="F281" s="345" t="s">
        <v>125</v>
      </c>
      <c r="G281" s="312">
        <v>1.4</v>
      </c>
      <c r="H281" s="312">
        <f>10.05/1.8946</f>
        <v>5.304549773039164</v>
      </c>
      <c r="I281" s="313">
        <f>ROUND(G281*H281,2)</f>
        <v>7.43</v>
      </c>
    </row>
    <row r="282" spans="2:9" ht="18" customHeight="1">
      <c r="B282" s="804" t="s">
        <v>118</v>
      </c>
      <c r="C282" s="805"/>
      <c r="D282" s="805"/>
      <c r="E282" s="805"/>
      <c r="F282" s="805"/>
      <c r="G282" s="805"/>
      <c r="H282" s="805"/>
      <c r="I282" s="314">
        <f>SUM(I280:I281)</f>
        <v>16.33</v>
      </c>
    </row>
    <row r="283" spans="2:9" ht="18" customHeight="1">
      <c r="B283" s="806" t="s">
        <v>215</v>
      </c>
      <c r="C283" s="807"/>
      <c r="D283" s="807"/>
      <c r="E283" s="807"/>
      <c r="F283" s="807"/>
      <c r="G283" s="807"/>
      <c r="H283" s="807"/>
      <c r="I283" s="808"/>
    </row>
    <row r="284" spans="2:9" ht="18" customHeight="1">
      <c r="B284" s="344" t="s">
        <v>216</v>
      </c>
      <c r="C284" s="803" t="s">
        <v>223</v>
      </c>
      <c r="D284" s="803"/>
      <c r="E284" s="803"/>
      <c r="F284" s="345" t="s">
        <v>126</v>
      </c>
      <c r="G284" s="312">
        <v>1.1</v>
      </c>
      <c r="H284" s="312">
        <v>17.05</v>
      </c>
      <c r="I284" s="313">
        <f>ROUND(G284*H284,2)</f>
        <v>18.76</v>
      </c>
    </row>
    <row r="285" spans="2:9" ht="18" customHeight="1">
      <c r="B285" s="344" t="s">
        <v>217</v>
      </c>
      <c r="C285" s="803" t="s">
        <v>218</v>
      </c>
      <c r="D285" s="803"/>
      <c r="E285" s="803"/>
      <c r="F285" s="345" t="s">
        <v>120</v>
      </c>
      <c r="G285" s="312">
        <v>0.12</v>
      </c>
      <c r="H285" s="312">
        <v>39.01</v>
      </c>
      <c r="I285" s="313">
        <f>ROUND(G285*H285,2)</f>
        <v>4.68</v>
      </c>
    </row>
    <row r="286" spans="2:9" ht="18" customHeight="1">
      <c r="B286" s="344" t="s">
        <v>129</v>
      </c>
      <c r="C286" s="803" t="s">
        <v>219</v>
      </c>
      <c r="D286" s="803"/>
      <c r="E286" s="803"/>
      <c r="F286" s="345" t="s">
        <v>120</v>
      </c>
      <c r="G286" s="312">
        <v>4</v>
      </c>
      <c r="H286" s="312">
        <f>I306</f>
        <v>0.42</v>
      </c>
      <c r="I286" s="313">
        <f>ROUND(G286*H286,2)</f>
        <v>1.68</v>
      </c>
    </row>
    <row r="287" spans="2:9" ht="18" customHeight="1">
      <c r="B287" s="804" t="s">
        <v>121</v>
      </c>
      <c r="C287" s="805"/>
      <c r="D287" s="805"/>
      <c r="E287" s="805"/>
      <c r="F287" s="805"/>
      <c r="G287" s="805"/>
      <c r="H287" s="805"/>
      <c r="I287" s="314">
        <f>SUM(I284:I286)</f>
        <v>25.12</v>
      </c>
    </row>
    <row r="288" spans="2:9" ht="18" customHeight="1">
      <c r="B288" s="809"/>
      <c r="C288" s="810"/>
      <c r="D288" s="810"/>
      <c r="E288" s="810"/>
      <c r="F288" s="810"/>
      <c r="G288" s="810"/>
      <c r="H288" s="810"/>
      <c r="I288" s="811"/>
    </row>
    <row r="289" spans="2:9" ht="18" customHeight="1">
      <c r="B289" s="799" t="s">
        <v>122</v>
      </c>
      <c r="C289" s="800"/>
      <c r="D289" s="800"/>
      <c r="E289" s="800"/>
      <c r="F289" s="800"/>
      <c r="G289" s="800"/>
      <c r="H289" s="800"/>
      <c r="I289" s="315">
        <f>I282+I287</f>
        <v>41.45</v>
      </c>
    </row>
    <row r="290" spans="2:9" ht="18" customHeight="1">
      <c r="B290" s="799" t="s">
        <v>123</v>
      </c>
      <c r="C290" s="800"/>
      <c r="D290" s="800"/>
      <c r="E290" s="800"/>
      <c r="F290" s="800"/>
      <c r="G290" s="800"/>
      <c r="H290" s="800"/>
      <c r="I290" s="315">
        <f>ROUND(I282*$D$14,2)</f>
        <v>14.61</v>
      </c>
    </row>
    <row r="291" spans="2:9" ht="18" customHeight="1">
      <c r="B291" s="801" t="s">
        <v>124</v>
      </c>
      <c r="C291" s="802"/>
      <c r="D291" s="802"/>
      <c r="E291" s="802"/>
      <c r="F291" s="802"/>
      <c r="G291" s="802"/>
      <c r="H291" s="802"/>
      <c r="I291" s="316">
        <f>I289+I290</f>
        <v>56.06</v>
      </c>
    </row>
    <row r="292" spans="2:9" ht="18" customHeight="1">
      <c r="B292" s="317"/>
      <c r="C292" s="303"/>
      <c r="E292" s="319"/>
      <c r="H292" s="303"/>
      <c r="I292" s="303"/>
    </row>
    <row r="293" spans="2:9" ht="18" customHeight="1">
      <c r="B293" s="812" t="s">
        <v>219</v>
      </c>
      <c r="C293" s="813"/>
      <c r="D293" s="813"/>
      <c r="E293" s="813"/>
      <c r="F293" s="813"/>
      <c r="G293" s="813"/>
      <c r="H293" s="813"/>
      <c r="I293" s="814"/>
    </row>
    <row r="294" spans="2:9" ht="18" customHeight="1">
      <c r="B294" s="815" t="s">
        <v>112</v>
      </c>
      <c r="C294" s="816"/>
      <c r="D294" s="305">
        <f>I306</f>
        <v>0.42</v>
      </c>
      <c r="E294" s="306"/>
      <c r="F294" s="306"/>
      <c r="G294" s="307"/>
      <c r="H294" s="307"/>
      <c r="I294" s="308" t="s">
        <v>220</v>
      </c>
    </row>
    <row r="295" spans="2:9" ht="18" customHeight="1">
      <c r="B295" s="817"/>
      <c r="C295" s="818"/>
      <c r="D295" s="818"/>
      <c r="E295" s="818"/>
      <c r="F295" s="818"/>
      <c r="G295" s="818"/>
      <c r="H295" s="818"/>
      <c r="I295" s="819"/>
    </row>
    <row r="296" spans="2:9" ht="18" customHeight="1">
      <c r="B296" s="309" t="s">
        <v>40</v>
      </c>
      <c r="C296" s="310" t="s">
        <v>113</v>
      </c>
      <c r="D296" s="310"/>
      <c r="E296" s="310"/>
      <c r="F296" s="310" t="s">
        <v>4</v>
      </c>
      <c r="G296" s="310" t="s">
        <v>114</v>
      </c>
      <c r="H296" s="310" t="s">
        <v>115</v>
      </c>
      <c r="I296" s="311" t="s">
        <v>116</v>
      </c>
    </row>
    <row r="297" spans="2:9" ht="18" customHeight="1">
      <c r="B297" s="806" t="s">
        <v>117</v>
      </c>
      <c r="C297" s="807"/>
      <c r="D297" s="807"/>
      <c r="E297" s="807"/>
      <c r="F297" s="807"/>
      <c r="G297" s="807"/>
      <c r="H297" s="807"/>
      <c r="I297" s="808"/>
    </row>
    <row r="298" spans="2:9" ht="18" customHeight="1">
      <c r="B298" s="344" t="s">
        <v>127</v>
      </c>
      <c r="C298" s="803" t="s">
        <v>128</v>
      </c>
      <c r="D298" s="803"/>
      <c r="E298" s="803"/>
      <c r="F298" s="345" t="s">
        <v>125</v>
      </c>
      <c r="G298" s="346">
        <v>0.007</v>
      </c>
      <c r="H298" s="312">
        <f>10.05/1.8946</f>
        <v>5.304549773039164</v>
      </c>
      <c r="I298" s="313">
        <f>ROUND(G298*H298,2)</f>
        <v>0.04</v>
      </c>
    </row>
    <row r="299" spans="2:9" ht="18" customHeight="1">
      <c r="B299" s="804" t="s">
        <v>118</v>
      </c>
      <c r="C299" s="805"/>
      <c r="D299" s="805"/>
      <c r="E299" s="805"/>
      <c r="F299" s="805"/>
      <c r="G299" s="805"/>
      <c r="H299" s="805"/>
      <c r="I299" s="314">
        <f>SUM(I298:I298)</f>
        <v>0.04</v>
      </c>
    </row>
    <row r="300" spans="2:9" ht="18" customHeight="1">
      <c r="B300" s="806" t="s">
        <v>119</v>
      </c>
      <c r="C300" s="807"/>
      <c r="D300" s="807"/>
      <c r="E300" s="807"/>
      <c r="F300" s="807"/>
      <c r="G300" s="807"/>
      <c r="H300" s="807"/>
      <c r="I300" s="808"/>
    </row>
    <row r="301" spans="2:9" ht="18" customHeight="1">
      <c r="B301" s="344" t="s">
        <v>221</v>
      </c>
      <c r="C301" s="803" t="s">
        <v>222</v>
      </c>
      <c r="D301" s="803"/>
      <c r="E301" s="803"/>
      <c r="F301" s="345" t="s">
        <v>120</v>
      </c>
      <c r="G301" s="312">
        <v>0.84</v>
      </c>
      <c r="H301" s="312">
        <v>0.4</v>
      </c>
      <c r="I301" s="313">
        <f>ROUND(G301*H301,2)</f>
        <v>0.34</v>
      </c>
    </row>
    <row r="302" spans="2:9" ht="18" customHeight="1">
      <c r="B302" s="804" t="s">
        <v>121</v>
      </c>
      <c r="C302" s="805"/>
      <c r="D302" s="805"/>
      <c r="E302" s="805"/>
      <c r="F302" s="805"/>
      <c r="G302" s="805"/>
      <c r="H302" s="805"/>
      <c r="I302" s="314">
        <f>SUM(I301:I301)</f>
        <v>0.34</v>
      </c>
    </row>
    <row r="303" spans="2:9" ht="18" customHeight="1">
      <c r="B303" s="809"/>
      <c r="C303" s="810"/>
      <c r="D303" s="810"/>
      <c r="E303" s="810"/>
      <c r="F303" s="810"/>
      <c r="G303" s="810"/>
      <c r="H303" s="810"/>
      <c r="I303" s="811"/>
    </row>
    <row r="304" spans="2:9" ht="18" customHeight="1">
      <c r="B304" s="799" t="s">
        <v>122</v>
      </c>
      <c r="C304" s="800"/>
      <c r="D304" s="800"/>
      <c r="E304" s="800"/>
      <c r="F304" s="800"/>
      <c r="G304" s="800"/>
      <c r="H304" s="800"/>
      <c r="I304" s="315">
        <f>I299+I302</f>
        <v>0.38</v>
      </c>
    </row>
    <row r="305" spans="2:9" ht="18" customHeight="1">
      <c r="B305" s="799" t="s">
        <v>123</v>
      </c>
      <c r="C305" s="800"/>
      <c r="D305" s="800"/>
      <c r="E305" s="800"/>
      <c r="F305" s="800"/>
      <c r="G305" s="800"/>
      <c r="H305" s="800"/>
      <c r="I305" s="315">
        <f>ROUND(I299*$D$14,2)</f>
        <v>0.04</v>
      </c>
    </row>
    <row r="306" spans="2:9" ht="18" customHeight="1">
      <c r="B306" s="801" t="s">
        <v>124</v>
      </c>
      <c r="C306" s="802"/>
      <c r="D306" s="802"/>
      <c r="E306" s="802"/>
      <c r="F306" s="802"/>
      <c r="G306" s="802"/>
      <c r="H306" s="802"/>
      <c r="I306" s="316">
        <f>I304+I305</f>
        <v>0.42</v>
      </c>
    </row>
    <row r="307" spans="2:9" ht="18" customHeight="1">
      <c r="B307" s="317"/>
      <c r="C307" s="303"/>
      <c r="E307" s="319"/>
      <c r="H307" s="303"/>
      <c r="I307" s="303"/>
    </row>
    <row r="308" spans="2:9" ht="18" customHeight="1">
      <c r="B308" s="812" t="s">
        <v>869</v>
      </c>
      <c r="C308" s="813"/>
      <c r="D308" s="813"/>
      <c r="E308" s="813"/>
      <c r="F308" s="813"/>
      <c r="G308" s="813"/>
      <c r="H308" s="813"/>
      <c r="I308" s="814"/>
    </row>
    <row r="309" spans="2:9" ht="18" customHeight="1">
      <c r="B309" s="815" t="s">
        <v>112</v>
      </c>
      <c r="C309" s="816"/>
      <c r="D309" s="305">
        <f>I323</f>
        <v>108.76</v>
      </c>
      <c r="E309" s="306"/>
      <c r="F309" s="306"/>
      <c r="G309" s="307"/>
      <c r="H309" s="307"/>
      <c r="I309" s="308" t="s">
        <v>870</v>
      </c>
    </row>
    <row r="310" spans="2:9" ht="18" customHeight="1">
      <c r="B310" s="817"/>
      <c r="C310" s="818"/>
      <c r="D310" s="818"/>
      <c r="E310" s="818"/>
      <c r="F310" s="818"/>
      <c r="G310" s="818"/>
      <c r="H310" s="818"/>
      <c r="I310" s="819"/>
    </row>
    <row r="311" spans="2:9" ht="18" customHeight="1">
      <c r="B311" s="309" t="s">
        <v>40</v>
      </c>
      <c r="C311" s="310" t="s">
        <v>113</v>
      </c>
      <c r="D311" s="310"/>
      <c r="E311" s="310"/>
      <c r="F311" s="310" t="s">
        <v>4</v>
      </c>
      <c r="G311" s="310" t="s">
        <v>114</v>
      </c>
      <c r="H311" s="310" t="s">
        <v>115</v>
      </c>
      <c r="I311" s="311" t="s">
        <v>116</v>
      </c>
    </row>
    <row r="312" spans="2:9" ht="18" customHeight="1">
      <c r="B312" s="806" t="s">
        <v>117</v>
      </c>
      <c r="C312" s="807"/>
      <c r="D312" s="807"/>
      <c r="E312" s="807"/>
      <c r="F312" s="807"/>
      <c r="G312" s="807"/>
      <c r="H312" s="807"/>
      <c r="I312" s="808"/>
    </row>
    <row r="313" spans="2:9" ht="18" customHeight="1">
      <c r="B313" s="675" t="s">
        <v>624</v>
      </c>
      <c r="C313" s="803" t="s">
        <v>621</v>
      </c>
      <c r="D313" s="803"/>
      <c r="E313" s="803"/>
      <c r="F313" s="676" t="s">
        <v>125</v>
      </c>
      <c r="G313" s="346">
        <v>0.5</v>
      </c>
      <c r="H313" s="312">
        <f>12.91/1.8946</f>
        <v>6.8141032407896125</v>
      </c>
      <c r="I313" s="313">
        <f>ROUND(G313*H313,2)</f>
        <v>3.41</v>
      </c>
    </row>
    <row r="314" spans="2:9" ht="18" customHeight="1">
      <c r="B314" s="675" t="s">
        <v>127</v>
      </c>
      <c r="C314" s="803" t="s">
        <v>128</v>
      </c>
      <c r="D314" s="803"/>
      <c r="E314" s="803"/>
      <c r="F314" s="676" t="s">
        <v>125</v>
      </c>
      <c r="G314" s="346">
        <v>0.5</v>
      </c>
      <c r="H314" s="312">
        <f>10.05/1.8946</f>
        <v>5.304549773039164</v>
      </c>
      <c r="I314" s="313">
        <f>ROUND(G314*H314,2)</f>
        <v>2.65</v>
      </c>
    </row>
    <row r="315" spans="2:9" ht="18" customHeight="1">
      <c r="B315" s="804" t="s">
        <v>118</v>
      </c>
      <c r="C315" s="805"/>
      <c r="D315" s="805"/>
      <c r="E315" s="805"/>
      <c r="F315" s="805"/>
      <c r="G315" s="805"/>
      <c r="H315" s="805"/>
      <c r="I315" s="314">
        <f>SUM(I313:I314)</f>
        <v>6.0600000000000005</v>
      </c>
    </row>
    <row r="316" spans="2:9" ht="18" customHeight="1">
      <c r="B316" s="806" t="s">
        <v>119</v>
      </c>
      <c r="C316" s="807"/>
      <c r="D316" s="807"/>
      <c r="E316" s="807"/>
      <c r="F316" s="807"/>
      <c r="G316" s="807"/>
      <c r="H316" s="807"/>
      <c r="I316" s="808"/>
    </row>
    <row r="317" spans="2:9" ht="18" customHeight="1">
      <c r="B317" s="675" t="s">
        <v>871</v>
      </c>
      <c r="C317" s="803" t="s">
        <v>872</v>
      </c>
      <c r="D317" s="803"/>
      <c r="E317" s="803"/>
      <c r="F317" s="676" t="s">
        <v>873</v>
      </c>
      <c r="G317" s="312">
        <v>1</v>
      </c>
      <c r="H317" s="312">
        <v>94.63</v>
      </c>
      <c r="I317" s="313">
        <f>ROUND(G317*H317,2)</f>
        <v>94.63</v>
      </c>
    </row>
    <row r="318" spans="2:9" ht="18" customHeight="1">
      <c r="B318" s="675" t="s">
        <v>875</v>
      </c>
      <c r="C318" s="803" t="s">
        <v>874</v>
      </c>
      <c r="D318" s="803"/>
      <c r="E318" s="803"/>
      <c r="F318" s="676" t="s">
        <v>713</v>
      </c>
      <c r="G318" s="312">
        <v>0.006</v>
      </c>
      <c r="H318" s="312">
        <v>442.365</v>
      </c>
      <c r="I318" s="313">
        <f>ROUND(G318*H318,2)</f>
        <v>2.65</v>
      </c>
    </row>
    <row r="319" spans="2:9" ht="18" customHeight="1">
      <c r="B319" s="804" t="s">
        <v>121</v>
      </c>
      <c r="C319" s="805"/>
      <c r="D319" s="805"/>
      <c r="E319" s="805"/>
      <c r="F319" s="805"/>
      <c r="G319" s="805"/>
      <c r="H319" s="805"/>
      <c r="I319" s="314">
        <f>SUM(I317:I318)</f>
        <v>97.28</v>
      </c>
    </row>
    <row r="320" spans="2:9" ht="18" customHeight="1">
      <c r="B320" s="809"/>
      <c r="C320" s="810"/>
      <c r="D320" s="810"/>
      <c r="E320" s="810"/>
      <c r="F320" s="810"/>
      <c r="G320" s="810"/>
      <c r="H320" s="810"/>
      <c r="I320" s="811"/>
    </row>
    <row r="321" spans="2:9" ht="18" customHeight="1">
      <c r="B321" s="799" t="s">
        <v>122</v>
      </c>
      <c r="C321" s="800"/>
      <c r="D321" s="800"/>
      <c r="E321" s="800"/>
      <c r="F321" s="800"/>
      <c r="G321" s="800"/>
      <c r="H321" s="800"/>
      <c r="I321" s="315">
        <f>I315+I319</f>
        <v>103.34</v>
      </c>
    </row>
    <row r="322" spans="2:9" ht="18" customHeight="1">
      <c r="B322" s="799" t="s">
        <v>123</v>
      </c>
      <c r="C322" s="800"/>
      <c r="D322" s="800"/>
      <c r="E322" s="800"/>
      <c r="F322" s="800"/>
      <c r="G322" s="800"/>
      <c r="H322" s="800"/>
      <c r="I322" s="315">
        <f>ROUND(I315*$D$14,2)</f>
        <v>5.42</v>
      </c>
    </row>
    <row r="323" spans="2:9" ht="18" customHeight="1">
      <c r="B323" s="801" t="s">
        <v>124</v>
      </c>
      <c r="C323" s="802"/>
      <c r="D323" s="802"/>
      <c r="E323" s="802"/>
      <c r="F323" s="802"/>
      <c r="G323" s="802"/>
      <c r="H323" s="802"/>
      <c r="I323" s="316">
        <f>I321+I322</f>
        <v>108.76</v>
      </c>
    </row>
    <row r="324" spans="2:9" ht="18" customHeight="1">
      <c r="B324" s="317"/>
      <c r="C324" s="303"/>
      <c r="E324" s="319"/>
      <c r="H324" s="303"/>
      <c r="I324" s="303"/>
    </row>
    <row r="325" spans="2:9" ht="18" customHeight="1">
      <c r="B325" s="317"/>
      <c r="C325" s="303"/>
      <c r="E325" s="319"/>
      <c r="H325" s="303"/>
      <c r="I325" s="303"/>
    </row>
    <row r="326" spans="2:9" ht="18" customHeight="1">
      <c r="B326" s="829" t="str">
        <f>Orçamento!B276</f>
        <v>Teresina (PI), 23 de Abril de 2015</v>
      </c>
      <c r="C326" s="829"/>
      <c r="E326" s="319"/>
      <c r="H326" s="303"/>
      <c r="I326" s="303"/>
    </row>
    <row r="327" spans="2:5" ht="18" customHeight="1">
      <c r="B327" s="317"/>
      <c r="C327" s="303"/>
      <c r="E327" s="319"/>
    </row>
    <row r="328" spans="2:5" ht="18" customHeight="1">
      <c r="B328" s="317"/>
      <c r="C328" s="303"/>
      <c r="E328" s="319"/>
    </row>
    <row r="329" spans="2:5" ht="18" customHeight="1">
      <c r="B329" s="317"/>
      <c r="C329" s="303"/>
      <c r="E329" s="319"/>
    </row>
    <row r="330" spans="2:5" ht="18" customHeight="1">
      <c r="B330" s="317"/>
      <c r="C330" s="303"/>
      <c r="E330" s="319"/>
    </row>
    <row r="331" spans="2:5" ht="18" customHeight="1">
      <c r="B331" s="317"/>
      <c r="C331" s="303"/>
      <c r="E331" s="319"/>
    </row>
    <row r="332" spans="2:5" ht="18" customHeight="1">
      <c r="B332" s="317"/>
      <c r="C332" s="303"/>
      <c r="E332" s="319"/>
    </row>
    <row r="333" spans="2:5" ht="18" customHeight="1">
      <c r="B333" s="317"/>
      <c r="C333" s="303"/>
      <c r="E333" s="319"/>
    </row>
    <row r="334" spans="2:5" ht="18" customHeight="1">
      <c r="B334" s="317"/>
      <c r="C334" s="303"/>
      <c r="E334" s="319"/>
    </row>
    <row r="335" spans="2:5" ht="18" customHeight="1">
      <c r="B335" s="317"/>
      <c r="C335" s="303"/>
      <c r="E335" s="319"/>
    </row>
    <row r="336" spans="2:5" ht="18" customHeight="1">
      <c r="B336" s="317"/>
      <c r="C336" s="303"/>
      <c r="E336" s="319"/>
    </row>
    <row r="337" spans="2:5" ht="18" customHeight="1">
      <c r="B337" s="317"/>
      <c r="C337" s="303"/>
      <c r="E337" s="319"/>
    </row>
    <row r="338" spans="2:5" ht="18" customHeight="1">
      <c r="B338" s="317"/>
      <c r="C338" s="303"/>
      <c r="E338" s="319"/>
    </row>
  </sheetData>
  <sheetProtection/>
  <mergeCells count="303">
    <mergeCell ref="C268:E268"/>
    <mergeCell ref="B269:H269"/>
    <mergeCell ref="B270:G270"/>
    <mergeCell ref="H270:I270"/>
    <mergeCell ref="B271:H271"/>
    <mergeCell ref="B272:H272"/>
    <mergeCell ref="B273:H273"/>
    <mergeCell ref="B265:H265"/>
    <mergeCell ref="B266:G266"/>
    <mergeCell ref="H266:I266"/>
    <mergeCell ref="C267:E267"/>
    <mergeCell ref="B259:I259"/>
    <mergeCell ref="B261:I261"/>
    <mergeCell ref="B263:G263"/>
    <mergeCell ref="H263:I263"/>
    <mergeCell ref="C264:E264"/>
    <mergeCell ref="B65:H65"/>
    <mergeCell ref="C41:E41"/>
    <mergeCell ref="C55:E55"/>
    <mergeCell ref="C58:E58"/>
    <mergeCell ref="C59:E59"/>
    <mergeCell ref="C60:E60"/>
    <mergeCell ref="B61:H61"/>
    <mergeCell ref="B63:H63"/>
    <mergeCell ref="B64:H64"/>
    <mergeCell ref="B51:H51"/>
    <mergeCell ref="B52:I52"/>
    <mergeCell ref="C53:E53"/>
    <mergeCell ref="C54:E54"/>
    <mergeCell ref="C56:E56"/>
    <mergeCell ref="C57:E57"/>
    <mergeCell ref="B32:I32"/>
    <mergeCell ref="B34:I34"/>
    <mergeCell ref="B36:I36"/>
    <mergeCell ref="C37:E37"/>
    <mergeCell ref="B42:H42"/>
    <mergeCell ref="B43:I43"/>
    <mergeCell ref="B84:H84"/>
    <mergeCell ref="B85:G85"/>
    <mergeCell ref="H85:I85"/>
    <mergeCell ref="B86:H86"/>
    <mergeCell ref="B87:H87"/>
    <mergeCell ref="B67:I67"/>
    <mergeCell ref="B69:I69"/>
    <mergeCell ref="B71:G71"/>
    <mergeCell ref="H71:I71"/>
    <mergeCell ref="B88:H88"/>
    <mergeCell ref="B75:H75"/>
    <mergeCell ref="B76:G76"/>
    <mergeCell ref="H76:I76"/>
    <mergeCell ref="C77:E77"/>
    <mergeCell ref="C79:E79"/>
    <mergeCell ref="C80:E80"/>
    <mergeCell ref="C81:E81"/>
    <mergeCell ref="C82:E82"/>
    <mergeCell ref="C72:E72"/>
    <mergeCell ref="C73:E73"/>
    <mergeCell ref="C212:E212"/>
    <mergeCell ref="B218:H218"/>
    <mergeCell ref="C213:E213"/>
    <mergeCell ref="B214:H214"/>
    <mergeCell ref="B215:G215"/>
    <mergeCell ref="H215:I215"/>
    <mergeCell ref="B216:H216"/>
    <mergeCell ref="B217:H217"/>
    <mergeCell ref="B208:H208"/>
    <mergeCell ref="B209:G209"/>
    <mergeCell ref="H209:I209"/>
    <mergeCell ref="C210:E210"/>
    <mergeCell ref="C211:E211"/>
    <mergeCell ref="B205:G205"/>
    <mergeCell ref="H205:I205"/>
    <mergeCell ref="C206:E206"/>
    <mergeCell ref="C207:E207"/>
    <mergeCell ref="C194:E194"/>
    <mergeCell ref="C193:E193"/>
    <mergeCell ref="B201:I201"/>
    <mergeCell ref="B203:I203"/>
    <mergeCell ref="B195:H195"/>
    <mergeCell ref="B196:G196"/>
    <mergeCell ref="B199:H199"/>
    <mergeCell ref="H184:I184"/>
    <mergeCell ref="C185:E185"/>
    <mergeCell ref="C187:E187"/>
    <mergeCell ref="H196:I196"/>
    <mergeCell ref="B197:H197"/>
    <mergeCell ref="B198:H198"/>
    <mergeCell ref="B190:G190"/>
    <mergeCell ref="H190:I190"/>
    <mergeCell ref="C191:E191"/>
    <mergeCell ref="C192:E192"/>
    <mergeCell ref="B175:G175"/>
    <mergeCell ref="H175:I175"/>
    <mergeCell ref="B176:H176"/>
    <mergeCell ref="B177:H177"/>
    <mergeCell ref="B178:H178"/>
    <mergeCell ref="B189:H189"/>
    <mergeCell ref="C188:E188"/>
    <mergeCell ref="B180:I180"/>
    <mergeCell ref="B182:I182"/>
    <mergeCell ref="B184:G184"/>
    <mergeCell ref="B160:H160"/>
    <mergeCell ref="B169:H169"/>
    <mergeCell ref="B170:G170"/>
    <mergeCell ref="H170:I170"/>
    <mergeCell ref="C171:E171"/>
    <mergeCell ref="C172:E172"/>
    <mergeCell ref="B162:I162"/>
    <mergeCell ref="C155:E155"/>
    <mergeCell ref="B156:H156"/>
    <mergeCell ref="B157:G157"/>
    <mergeCell ref="H157:I157"/>
    <mergeCell ref="B158:H158"/>
    <mergeCell ref="B159:H159"/>
    <mergeCell ref="C150:E150"/>
    <mergeCell ref="B151:H151"/>
    <mergeCell ref="B152:G152"/>
    <mergeCell ref="H152:I152"/>
    <mergeCell ref="C153:E153"/>
    <mergeCell ref="C154:E154"/>
    <mergeCell ref="B142:H142"/>
    <mergeCell ref="B144:I144"/>
    <mergeCell ref="B146:I146"/>
    <mergeCell ref="B148:G148"/>
    <mergeCell ref="H148:I148"/>
    <mergeCell ref="C149:E149"/>
    <mergeCell ref="C137:E137"/>
    <mergeCell ref="B138:H138"/>
    <mergeCell ref="B139:G139"/>
    <mergeCell ref="H139:I139"/>
    <mergeCell ref="B140:H140"/>
    <mergeCell ref="B141:H141"/>
    <mergeCell ref="C132:E132"/>
    <mergeCell ref="B133:H133"/>
    <mergeCell ref="B134:G134"/>
    <mergeCell ref="H134:I134"/>
    <mergeCell ref="C135:E135"/>
    <mergeCell ref="C136:E136"/>
    <mergeCell ref="B124:H124"/>
    <mergeCell ref="B126:I126"/>
    <mergeCell ref="B128:I128"/>
    <mergeCell ref="B130:G130"/>
    <mergeCell ref="H130:I130"/>
    <mergeCell ref="C131:E131"/>
    <mergeCell ref="C119:E119"/>
    <mergeCell ref="B120:H120"/>
    <mergeCell ref="B121:G121"/>
    <mergeCell ref="H121:I121"/>
    <mergeCell ref="B122:H122"/>
    <mergeCell ref="B123:H123"/>
    <mergeCell ref="C114:E114"/>
    <mergeCell ref="B115:H115"/>
    <mergeCell ref="B116:G116"/>
    <mergeCell ref="H116:I116"/>
    <mergeCell ref="C117:E117"/>
    <mergeCell ref="C118:E118"/>
    <mergeCell ref="B110:I110"/>
    <mergeCell ref="B112:G112"/>
    <mergeCell ref="H112:I112"/>
    <mergeCell ref="C113:E113"/>
    <mergeCell ref="B103:G103"/>
    <mergeCell ref="H103:I103"/>
    <mergeCell ref="B104:H104"/>
    <mergeCell ref="B94:G94"/>
    <mergeCell ref="H94:I94"/>
    <mergeCell ref="C95:E95"/>
    <mergeCell ref="B97:H97"/>
    <mergeCell ref="C96:E96"/>
    <mergeCell ref="B108:I108"/>
    <mergeCell ref="B304:H304"/>
    <mergeCell ref="H283:I283"/>
    <mergeCell ref="B282:H282"/>
    <mergeCell ref="B279:G279"/>
    <mergeCell ref="H279:I279"/>
    <mergeCell ref="C100:E100"/>
    <mergeCell ref="C101:E101"/>
    <mergeCell ref="B102:H102"/>
    <mergeCell ref="B105:H105"/>
    <mergeCell ref="B106:H106"/>
    <mergeCell ref="H303:I303"/>
    <mergeCell ref="B283:G283"/>
    <mergeCell ref="B164:I164"/>
    <mergeCell ref="B166:G166"/>
    <mergeCell ref="H166:I166"/>
    <mergeCell ref="C167:E167"/>
    <mergeCell ref="C168:E168"/>
    <mergeCell ref="C173:E173"/>
    <mergeCell ref="C186:E186"/>
    <mergeCell ref="B174:H174"/>
    <mergeCell ref="B291:H291"/>
    <mergeCell ref="C298:E298"/>
    <mergeCell ref="B305:H305"/>
    <mergeCell ref="C285:E285"/>
    <mergeCell ref="C284:E284"/>
    <mergeCell ref="C280:E280"/>
    <mergeCell ref="C286:E286"/>
    <mergeCell ref="C301:E301"/>
    <mergeCell ref="B302:H302"/>
    <mergeCell ref="B303:G303"/>
    <mergeCell ref="B10:E10"/>
    <mergeCell ref="F10:I10"/>
    <mergeCell ref="B12:I12"/>
    <mergeCell ref="B306:H306"/>
    <mergeCell ref="B293:I293"/>
    <mergeCell ref="B290:H290"/>
    <mergeCell ref="B288:G288"/>
    <mergeCell ref="H288:I288"/>
    <mergeCell ref="B289:H289"/>
    <mergeCell ref="B294:C294"/>
    <mergeCell ref="B2:C7"/>
    <mergeCell ref="D2:J3"/>
    <mergeCell ref="D4:J5"/>
    <mergeCell ref="D6:J7"/>
    <mergeCell ref="B9:E9"/>
    <mergeCell ref="F9:J9"/>
    <mergeCell ref="B299:H299"/>
    <mergeCell ref="B300:G300"/>
    <mergeCell ref="H300:I300"/>
    <mergeCell ref="B295:I295"/>
    <mergeCell ref="B297:G297"/>
    <mergeCell ref="H297:I297"/>
    <mergeCell ref="B14:C14"/>
    <mergeCell ref="D14:E14"/>
    <mergeCell ref="F14:G14"/>
    <mergeCell ref="B229:H229"/>
    <mergeCell ref="H14:I14"/>
    <mergeCell ref="B98:G98"/>
    <mergeCell ref="H98:I98"/>
    <mergeCell ref="C99:E99"/>
    <mergeCell ref="B90:I90"/>
    <mergeCell ref="B92:I92"/>
    <mergeCell ref="B287:H287"/>
    <mergeCell ref="C281:E281"/>
    <mergeCell ref="H230:I230"/>
    <mergeCell ref="C231:E231"/>
    <mergeCell ref="B234:H234"/>
    <mergeCell ref="B275:I275"/>
    <mergeCell ref="B277:I277"/>
    <mergeCell ref="B236:H236"/>
    <mergeCell ref="B237:H237"/>
    <mergeCell ref="B238:H238"/>
    <mergeCell ref="B222:I222"/>
    <mergeCell ref="B224:G224"/>
    <mergeCell ref="H224:I224"/>
    <mergeCell ref="C225:E225"/>
    <mergeCell ref="C226:E226"/>
    <mergeCell ref="B235:G235"/>
    <mergeCell ref="H235:I235"/>
    <mergeCell ref="B220:I220"/>
    <mergeCell ref="C228:E228"/>
    <mergeCell ref="C227:E227"/>
    <mergeCell ref="C232:E232"/>
    <mergeCell ref="B230:G230"/>
    <mergeCell ref="B326:C326"/>
    <mergeCell ref="B240:I240"/>
    <mergeCell ref="B242:I242"/>
    <mergeCell ref="B244:G244"/>
    <mergeCell ref="H244:I244"/>
    <mergeCell ref="H254:I254"/>
    <mergeCell ref="B255:H255"/>
    <mergeCell ref="C245:E245"/>
    <mergeCell ref="C246:E246"/>
    <mergeCell ref="B247:H247"/>
    <mergeCell ref="B248:G248"/>
    <mergeCell ref="H248:I248"/>
    <mergeCell ref="B29:H29"/>
    <mergeCell ref="C24:E24"/>
    <mergeCell ref="B22:H22"/>
    <mergeCell ref="B256:H256"/>
    <mergeCell ref="B257:H257"/>
    <mergeCell ref="C251:E251"/>
    <mergeCell ref="C249:E249"/>
    <mergeCell ref="C250:E250"/>
    <mergeCell ref="B253:H253"/>
    <mergeCell ref="B254:G254"/>
    <mergeCell ref="B28:H28"/>
    <mergeCell ref="B30:H30"/>
    <mergeCell ref="B23:I23"/>
    <mergeCell ref="C25:E25"/>
    <mergeCell ref="B26:H26"/>
    <mergeCell ref="B15:I15"/>
    <mergeCell ref="B17:I17"/>
    <mergeCell ref="B19:G19"/>
    <mergeCell ref="H19:I19"/>
    <mergeCell ref="C20:E20"/>
    <mergeCell ref="B320:G320"/>
    <mergeCell ref="H320:I320"/>
    <mergeCell ref="B308:I308"/>
    <mergeCell ref="B309:C309"/>
    <mergeCell ref="B310:I310"/>
    <mergeCell ref="B312:G312"/>
    <mergeCell ref="H312:I312"/>
    <mergeCell ref="C313:E313"/>
    <mergeCell ref="B321:H321"/>
    <mergeCell ref="B322:H322"/>
    <mergeCell ref="B323:H323"/>
    <mergeCell ref="C314:E314"/>
    <mergeCell ref="C318:E318"/>
    <mergeCell ref="B315:H315"/>
    <mergeCell ref="B316:G316"/>
    <mergeCell ref="H316:I316"/>
    <mergeCell ref="C317:E317"/>
    <mergeCell ref="B319:H319"/>
  </mergeCells>
  <printOptions gridLines="1" horizontalCentered="1"/>
  <pageMargins left="0.4330708661417323" right="0" top="0.7086614173228347" bottom="0.73" header="0" footer="0.3937007874015748"/>
  <pageSetup horizontalDpi="1200" verticalDpi="1200" orientation="portrait" paperSize="9" scale="57" r:id="rId2"/>
  <headerFooter alignWithMargins="0">
    <oddFooter>&amp;CPágina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X121"/>
  <sheetViews>
    <sheetView view="pageBreakPreview" zoomScale="77" zoomScaleNormal="89" zoomScaleSheetLayoutView="77" zoomScalePageLayoutView="0" workbookViewId="0" topLeftCell="A1">
      <selection activeCell="D10" sqref="D10:G10"/>
    </sheetView>
  </sheetViews>
  <sheetFormatPr defaultColWidth="9.140625" defaultRowHeight="15"/>
  <cols>
    <col min="2" max="2" width="39.00390625" style="0" customWidth="1"/>
    <col min="3" max="3" width="18.140625" style="0" customWidth="1"/>
    <col min="5" max="5" width="19.00390625" style="0" customWidth="1"/>
    <col min="7" max="7" width="16.57421875" style="0" customWidth="1"/>
  </cols>
  <sheetData>
    <row r="3" spans="2:12" ht="15" customHeight="1">
      <c r="B3" s="30"/>
      <c r="C3" s="31"/>
      <c r="D3" s="866" t="s">
        <v>46</v>
      </c>
      <c r="E3" s="790"/>
      <c r="F3" s="790"/>
      <c r="G3" s="791"/>
      <c r="H3" s="166"/>
      <c r="I3" s="166"/>
      <c r="J3" s="166"/>
      <c r="K3" s="166"/>
      <c r="L3" s="166"/>
    </row>
    <row r="4" spans="2:12" ht="15" customHeight="1">
      <c r="B4" s="32"/>
      <c r="C4" s="33"/>
      <c r="D4" s="867"/>
      <c r="E4" s="868"/>
      <c r="F4" s="868"/>
      <c r="G4" s="869"/>
      <c r="H4" s="166"/>
      <c r="I4" s="166"/>
      <c r="J4" s="166"/>
      <c r="K4" s="166"/>
      <c r="L4" s="166"/>
    </row>
    <row r="5" spans="2:12" ht="15" customHeight="1">
      <c r="B5" s="32"/>
      <c r="C5" s="33"/>
      <c r="D5" s="870" t="s">
        <v>47</v>
      </c>
      <c r="E5" s="871"/>
      <c r="F5" s="871"/>
      <c r="G5" s="872"/>
      <c r="H5" s="868"/>
      <c r="I5" s="868"/>
      <c r="J5" s="868"/>
      <c r="K5" s="868"/>
      <c r="L5" s="868"/>
    </row>
    <row r="6" spans="2:12" ht="15" customHeight="1">
      <c r="B6" s="32"/>
      <c r="C6" s="33"/>
      <c r="D6" s="873"/>
      <c r="E6" s="874"/>
      <c r="F6" s="874"/>
      <c r="G6" s="875"/>
      <c r="H6" s="868"/>
      <c r="I6" s="868"/>
      <c r="J6" s="868"/>
      <c r="K6" s="868"/>
      <c r="L6" s="868"/>
    </row>
    <row r="7" spans="2:12" ht="15" customHeight="1">
      <c r="B7" s="32"/>
      <c r="C7" s="33"/>
      <c r="D7" s="876" t="s">
        <v>34</v>
      </c>
      <c r="E7" s="877"/>
      <c r="F7" s="877"/>
      <c r="G7" s="878"/>
      <c r="H7" s="868"/>
      <c r="I7" s="868"/>
      <c r="J7" s="868"/>
      <c r="K7" s="868"/>
      <c r="L7" s="868"/>
    </row>
    <row r="8" spans="2:12" ht="15" customHeight="1">
      <c r="B8" s="34"/>
      <c r="C8" s="35"/>
      <c r="D8" s="879"/>
      <c r="E8" s="880"/>
      <c r="F8" s="880"/>
      <c r="G8" s="881"/>
      <c r="H8" s="868"/>
      <c r="I8" s="868"/>
      <c r="J8" s="868"/>
      <c r="K8" s="868"/>
      <c r="L8" s="868"/>
    </row>
    <row r="9" spans="2:12" ht="4.5" customHeight="1">
      <c r="B9" s="11"/>
      <c r="C9" s="12"/>
      <c r="D9" s="12"/>
      <c r="E9" s="12"/>
      <c r="F9" s="11"/>
      <c r="G9" s="17"/>
      <c r="H9" s="23"/>
      <c r="I9" s="17"/>
      <c r="J9" s="17"/>
      <c r="K9" s="15"/>
      <c r="L9" s="13"/>
    </row>
    <row r="10" spans="2:12" ht="18" customHeight="1">
      <c r="B10" s="883" t="s">
        <v>108</v>
      </c>
      <c r="C10" s="884"/>
      <c r="D10" s="885" t="s">
        <v>1067</v>
      </c>
      <c r="E10" s="886"/>
      <c r="F10" s="886"/>
      <c r="G10" s="886"/>
      <c r="H10" s="167"/>
      <c r="I10" s="167"/>
      <c r="J10" s="167"/>
      <c r="K10" s="167"/>
      <c r="L10" s="167"/>
    </row>
    <row r="11" spans="2:12" ht="18" customHeight="1">
      <c r="B11" s="883" t="s">
        <v>88</v>
      </c>
      <c r="C11" s="884"/>
      <c r="D11" s="887" t="s">
        <v>583</v>
      </c>
      <c r="E11" s="887"/>
      <c r="F11" s="887"/>
      <c r="G11" s="887"/>
      <c r="H11" s="168"/>
      <c r="I11" s="168"/>
      <c r="J11" s="168"/>
      <c r="K11" s="168"/>
      <c r="L11" s="168"/>
    </row>
    <row r="12" spans="2:12" ht="4.5" customHeight="1" thickBot="1">
      <c r="B12" s="738"/>
      <c r="C12" s="739"/>
      <c r="D12" s="182"/>
      <c r="E12" s="182"/>
      <c r="F12" s="181"/>
      <c r="G12" s="169"/>
      <c r="H12" s="24"/>
      <c r="I12" s="169"/>
      <c r="J12" s="169"/>
      <c r="K12" s="170"/>
      <c r="L12" s="171"/>
    </row>
    <row r="13" spans="2:12" ht="18.75" thickBot="1">
      <c r="B13" s="888" t="s">
        <v>66</v>
      </c>
      <c r="C13" s="889"/>
      <c r="D13" s="889"/>
      <c r="E13" s="889"/>
      <c r="F13" s="889"/>
      <c r="G13" s="890"/>
      <c r="H13" s="172"/>
      <c r="I13" s="172"/>
      <c r="J13" s="172"/>
      <c r="K13" s="172"/>
      <c r="L13" s="172"/>
    </row>
    <row r="14" spans="2:12" ht="4.5" customHeight="1" thickBot="1">
      <c r="B14" s="3"/>
      <c r="C14" s="1"/>
      <c r="D14" s="1"/>
      <c r="E14" s="1"/>
      <c r="F14" s="2"/>
      <c r="G14" s="18"/>
      <c r="H14" s="25"/>
      <c r="I14" s="18"/>
      <c r="J14" s="18"/>
      <c r="K14" s="16"/>
      <c r="L14" s="14"/>
    </row>
    <row r="15" spans="1:24" ht="16.5" customHeight="1" thickBot="1">
      <c r="A15" s="156"/>
      <c r="B15" s="891" t="s">
        <v>67</v>
      </c>
      <c r="C15" s="892"/>
      <c r="D15" s="893" t="s">
        <v>59</v>
      </c>
      <c r="E15" s="894"/>
      <c r="F15" s="894"/>
      <c r="G15" s="895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</row>
    <row r="16" spans="1:24" ht="16.5" thickBot="1">
      <c r="A16" s="156"/>
      <c r="B16" s="864" t="s">
        <v>68</v>
      </c>
      <c r="C16" s="865"/>
      <c r="D16" s="861">
        <v>7.3</v>
      </c>
      <c r="E16" s="862"/>
      <c r="F16" s="862"/>
      <c r="G16" s="863"/>
      <c r="H16" s="157">
        <f aca="true" t="shared" si="0" ref="H16:H23">D16/100</f>
        <v>0.073</v>
      </c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</row>
    <row r="17" spans="1:24" ht="16.5" thickBot="1">
      <c r="A17" s="156"/>
      <c r="B17" s="864" t="s">
        <v>69</v>
      </c>
      <c r="C17" s="865"/>
      <c r="D17" s="861">
        <v>3</v>
      </c>
      <c r="E17" s="862"/>
      <c r="F17" s="862"/>
      <c r="G17" s="863"/>
      <c r="H17" s="157">
        <f t="shared" si="0"/>
        <v>0.03</v>
      </c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</row>
    <row r="18" spans="1:24" ht="16.5" thickBot="1">
      <c r="A18" s="156"/>
      <c r="B18" s="864" t="s">
        <v>70</v>
      </c>
      <c r="C18" s="865"/>
      <c r="D18" s="861">
        <v>1.23</v>
      </c>
      <c r="E18" s="862"/>
      <c r="F18" s="862"/>
      <c r="G18" s="863"/>
      <c r="H18" s="157">
        <f t="shared" si="0"/>
        <v>0.0123</v>
      </c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</row>
    <row r="19" spans="1:24" ht="16.5" thickBot="1">
      <c r="A19" s="156"/>
      <c r="B19" s="864" t="s">
        <v>58</v>
      </c>
      <c r="C19" s="865"/>
      <c r="D19" s="861">
        <v>3</v>
      </c>
      <c r="E19" s="862"/>
      <c r="F19" s="862"/>
      <c r="G19" s="863"/>
      <c r="H19" s="157">
        <f t="shared" si="0"/>
        <v>0.03</v>
      </c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</row>
    <row r="20" spans="1:24" ht="16.5" thickBot="1">
      <c r="A20" s="156"/>
      <c r="B20" s="864" t="s">
        <v>57</v>
      </c>
      <c r="C20" s="865"/>
      <c r="D20" s="861">
        <v>0.65</v>
      </c>
      <c r="E20" s="862"/>
      <c r="F20" s="862"/>
      <c r="G20" s="863"/>
      <c r="H20" s="157">
        <f t="shared" si="0"/>
        <v>0.006500000000000001</v>
      </c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</row>
    <row r="21" spans="1:24" ht="16.5" thickBot="1">
      <c r="A21" s="156"/>
      <c r="B21" s="864" t="s">
        <v>71</v>
      </c>
      <c r="C21" s="865"/>
      <c r="D21" s="861">
        <v>2</v>
      </c>
      <c r="E21" s="862"/>
      <c r="F21" s="862"/>
      <c r="G21" s="863"/>
      <c r="H21" s="157">
        <f t="shared" si="0"/>
        <v>0.02</v>
      </c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</row>
    <row r="22" spans="1:24" ht="16.5" thickBot="1">
      <c r="A22" s="156"/>
      <c r="B22" s="864" t="s">
        <v>72</v>
      </c>
      <c r="C22" s="865"/>
      <c r="D22" s="861">
        <v>3</v>
      </c>
      <c r="E22" s="862"/>
      <c r="F22" s="862"/>
      <c r="G22" s="863"/>
      <c r="H22" s="157">
        <f t="shared" si="0"/>
        <v>0.03</v>
      </c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</row>
    <row r="23" spans="1:24" ht="16.5" thickBot="1">
      <c r="A23" s="156"/>
      <c r="B23" s="864" t="s">
        <v>73</v>
      </c>
      <c r="C23" s="865"/>
      <c r="D23" s="861">
        <f>0.8+1.27</f>
        <v>2.0700000000000003</v>
      </c>
      <c r="E23" s="862"/>
      <c r="F23" s="862"/>
      <c r="G23" s="863"/>
      <c r="H23" s="157">
        <f t="shared" si="0"/>
        <v>0.020700000000000003</v>
      </c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</row>
    <row r="24" spans="1:24" ht="15.75">
      <c r="A24" s="156"/>
      <c r="B24" s="158"/>
      <c r="C24" s="159"/>
      <c r="D24" s="173"/>
      <c r="E24" s="66"/>
      <c r="F24" s="66"/>
      <c r="G24" s="66"/>
      <c r="H24" s="160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</row>
    <row r="25" spans="1:24" ht="15.75">
      <c r="A25" s="156"/>
      <c r="B25" s="158"/>
      <c r="C25" s="882"/>
      <c r="D25" s="882"/>
      <c r="E25" s="882"/>
      <c r="F25" s="66"/>
      <c r="G25" s="66"/>
      <c r="H25" s="160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</row>
    <row r="26" spans="1:24" ht="15.75">
      <c r="A26" s="156"/>
      <c r="B26" s="158"/>
      <c r="C26" s="159"/>
      <c r="D26" s="173"/>
      <c r="E26" s="66"/>
      <c r="F26" s="66"/>
      <c r="G26" s="66"/>
      <c r="H26" s="160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</row>
    <row r="27" spans="1:24" ht="15.75">
      <c r="A27" s="156"/>
      <c r="B27" s="158"/>
      <c r="C27" s="159"/>
      <c r="D27" s="173"/>
      <c r="E27" s="66"/>
      <c r="F27" s="66"/>
      <c r="G27" s="66"/>
      <c r="H27" s="160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</row>
    <row r="28" spans="1:24" ht="15">
      <c r="A28" s="156"/>
      <c r="B28" s="161"/>
      <c r="C28" s="162"/>
      <c r="D28" s="173"/>
      <c r="E28" s="66"/>
      <c r="F28" s="66"/>
      <c r="G28" s="66"/>
      <c r="H28" s="160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</row>
    <row r="29" spans="1:24" ht="15">
      <c r="A29" s="156"/>
      <c r="B29" s="161"/>
      <c r="C29" s="162"/>
      <c r="D29" s="173"/>
      <c r="E29" s="66"/>
      <c r="F29" s="66"/>
      <c r="G29" s="66"/>
      <c r="H29" s="160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</row>
    <row r="30" spans="1:24" ht="18.75">
      <c r="A30" s="156"/>
      <c r="B30" s="161"/>
      <c r="C30" s="162"/>
      <c r="D30" s="173"/>
      <c r="E30" s="66"/>
      <c r="F30" s="66"/>
      <c r="G30" s="66"/>
      <c r="H30" s="163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</row>
    <row r="31" spans="1:24" ht="18.75">
      <c r="A31" s="156"/>
      <c r="B31" s="164"/>
      <c r="C31" s="165"/>
      <c r="D31" s="66"/>
      <c r="E31" s="66"/>
      <c r="F31" s="66"/>
      <c r="G31" s="66"/>
      <c r="H31" s="163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</row>
    <row r="32" spans="1:24" ht="18.75">
      <c r="A32" s="156"/>
      <c r="B32" s="164"/>
      <c r="C32" s="165"/>
      <c r="D32" s="66"/>
      <c r="E32" s="66"/>
      <c r="F32" s="66"/>
      <c r="G32" s="66"/>
      <c r="H32" s="163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</row>
    <row r="33" spans="1:24" ht="18.75">
      <c r="A33" s="156"/>
      <c r="B33" s="164"/>
      <c r="C33" s="165"/>
      <c r="D33" s="66"/>
      <c r="E33" s="66"/>
      <c r="F33" s="66"/>
      <c r="G33" s="66"/>
      <c r="H33" s="163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</row>
    <row r="34" spans="1:24" ht="18.75">
      <c r="A34" s="156"/>
      <c r="B34" s="164"/>
      <c r="C34" s="165"/>
      <c r="D34" s="66"/>
      <c r="E34" s="66"/>
      <c r="F34" s="66"/>
      <c r="G34" s="66"/>
      <c r="H34" s="163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</row>
    <row r="35" spans="1:24" ht="18.75">
      <c r="A35" s="156"/>
      <c r="B35" s="164"/>
      <c r="C35" s="165"/>
      <c r="D35" s="66"/>
      <c r="E35" s="66"/>
      <c r="F35" s="66"/>
      <c r="G35" s="66"/>
      <c r="H35" s="163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</row>
    <row r="36" spans="1:24" ht="18.75">
      <c r="A36" s="156"/>
      <c r="B36" s="164"/>
      <c r="C36" s="165"/>
      <c r="D36" s="66"/>
      <c r="E36" s="66"/>
      <c r="F36" s="66"/>
      <c r="G36" s="66"/>
      <c r="H36" s="163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</row>
    <row r="37" spans="1:24" ht="18.75">
      <c r="A37" s="156"/>
      <c r="B37" s="164"/>
      <c r="C37" s="165"/>
      <c r="D37" s="66"/>
      <c r="E37" s="66"/>
      <c r="F37" s="66"/>
      <c r="G37" s="66"/>
      <c r="H37" s="163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</row>
    <row r="38" spans="1:24" ht="18.75">
      <c r="A38" s="156"/>
      <c r="B38" s="164"/>
      <c r="C38" s="165"/>
      <c r="D38" s="66"/>
      <c r="E38" s="66"/>
      <c r="F38" s="66"/>
      <c r="G38" s="66"/>
      <c r="H38" s="163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</row>
    <row r="39" spans="1:24" ht="18.75">
      <c r="A39" s="156"/>
      <c r="B39" s="164"/>
      <c r="C39" s="165"/>
      <c r="D39" s="66"/>
      <c r="E39" s="66"/>
      <c r="F39" s="66"/>
      <c r="G39" s="66"/>
      <c r="H39" s="163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</row>
    <row r="40" spans="1:24" ht="18.75">
      <c r="A40" s="156"/>
      <c r="B40" s="175" t="s">
        <v>74</v>
      </c>
      <c r="C40" s="174">
        <f>(D17+D23)</f>
        <v>5.07</v>
      </c>
      <c r="D40" s="66"/>
      <c r="E40" s="66"/>
      <c r="F40" s="66"/>
      <c r="G40" s="66"/>
      <c r="H40" s="163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</row>
    <row r="41" spans="1:24" ht="18.75">
      <c r="A41" s="156"/>
      <c r="B41" s="175" t="s">
        <v>75</v>
      </c>
      <c r="C41" s="174">
        <f>D18</f>
        <v>1.23</v>
      </c>
      <c r="D41" s="66"/>
      <c r="E41" s="66"/>
      <c r="F41" s="66"/>
      <c r="G41" s="66"/>
      <c r="H41" s="163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</row>
    <row r="42" spans="1:24" ht="18.75">
      <c r="A42" s="156"/>
      <c r="B42" s="175" t="s">
        <v>76</v>
      </c>
      <c r="C42" s="174">
        <f>D16</f>
        <v>7.3</v>
      </c>
      <c r="D42" s="66"/>
      <c r="E42" s="66"/>
      <c r="F42" s="66"/>
      <c r="G42" s="66"/>
      <c r="H42" s="163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</row>
    <row r="43" spans="1:24" ht="18.75">
      <c r="A43" s="156"/>
      <c r="B43" s="175" t="s">
        <v>77</v>
      </c>
      <c r="C43" s="174">
        <f>(D19+D20+D21+D22)</f>
        <v>8.65</v>
      </c>
      <c r="D43" s="66"/>
      <c r="E43" s="66"/>
      <c r="F43" s="66"/>
      <c r="G43" s="66"/>
      <c r="H43" s="163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</row>
    <row r="44" spans="1:24" ht="18.75">
      <c r="A44" s="156"/>
      <c r="B44" s="66" t="s">
        <v>78</v>
      </c>
      <c r="C44" s="66"/>
      <c r="D44" s="66"/>
      <c r="E44" s="66"/>
      <c r="F44" s="66"/>
      <c r="G44" s="66"/>
      <c r="H44" s="163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</row>
    <row r="45" spans="1:24" ht="19.5" thickBot="1">
      <c r="A45" s="156"/>
      <c r="B45" s="66"/>
      <c r="C45" s="66"/>
      <c r="D45" s="66"/>
      <c r="E45" s="66"/>
      <c r="F45" s="66"/>
      <c r="G45" s="66"/>
      <c r="H45" s="163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</row>
    <row r="46" spans="1:24" ht="19.5" thickBot="1">
      <c r="A46" s="156"/>
      <c r="B46" s="176"/>
      <c r="C46" s="177" t="s">
        <v>79</v>
      </c>
      <c r="D46" s="178">
        <f>ROUND((((((1+H17+H23)*(1+H18)*(1+H16))/(1-(H19+H20+H21+H22)))-1))*100,2)</f>
        <v>24.93</v>
      </c>
      <c r="E46" s="179"/>
      <c r="F46" s="179"/>
      <c r="G46" s="180"/>
      <c r="H46" s="163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</row>
    <row r="47" spans="1:24" ht="18.75">
      <c r="A47" s="156"/>
      <c r="B47" s="66"/>
      <c r="C47" s="66"/>
      <c r="D47" s="66"/>
      <c r="E47" s="66"/>
      <c r="F47" s="66"/>
      <c r="G47" s="66"/>
      <c r="H47" s="163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</row>
    <row r="48" spans="1:24" ht="15">
      <c r="A48" s="156"/>
      <c r="B48" s="66"/>
      <c r="C48" s="66"/>
      <c r="D48" s="66"/>
      <c r="E48" s="66"/>
      <c r="F48" s="66"/>
      <c r="G48" s="6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</row>
    <row r="49" spans="1:24" ht="18.75">
      <c r="A49" s="156"/>
      <c r="B49" s="66"/>
      <c r="C49" s="66"/>
      <c r="D49" s="66"/>
      <c r="E49" s="66"/>
      <c r="F49" s="66"/>
      <c r="G49" s="66"/>
      <c r="H49" s="163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</row>
    <row r="50" spans="1:24" ht="18.75">
      <c r="A50" s="156"/>
      <c r="B50" s="66"/>
      <c r="C50" s="66"/>
      <c r="D50" s="66"/>
      <c r="E50" s="66"/>
      <c r="F50" s="66"/>
      <c r="G50" s="66"/>
      <c r="H50" s="163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</row>
    <row r="51" spans="1:24" ht="18.75">
      <c r="A51" s="156"/>
      <c r="B51" s="66"/>
      <c r="C51" s="66"/>
      <c r="D51" s="66"/>
      <c r="E51" s="66"/>
      <c r="F51" s="66"/>
      <c r="G51" s="66"/>
      <c r="H51" s="163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</row>
    <row r="52" spans="1:24" ht="18.75">
      <c r="A52" s="156"/>
      <c r="B52" s="66"/>
      <c r="C52" s="66"/>
      <c r="D52" s="66"/>
      <c r="E52" s="66"/>
      <c r="F52" s="66"/>
      <c r="G52" s="66"/>
      <c r="H52" s="163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</row>
    <row r="53" spans="1:24" ht="18.75">
      <c r="A53" s="156"/>
      <c r="B53" s="724" t="str">
        <f>Orçamento!B276</f>
        <v>Teresina (PI), 23 de Abril de 2015</v>
      </c>
      <c r="C53" s="724"/>
      <c r="D53" s="66"/>
      <c r="E53" s="66"/>
      <c r="F53" s="66"/>
      <c r="G53" s="66"/>
      <c r="H53" s="163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</row>
    <row r="54" spans="1:24" ht="18.75">
      <c r="A54" s="156"/>
      <c r="B54" s="66"/>
      <c r="C54" s="66"/>
      <c r="D54" s="66"/>
      <c r="E54" s="66"/>
      <c r="F54" s="66"/>
      <c r="G54" s="66"/>
      <c r="H54" s="163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</row>
    <row r="55" spans="1:24" ht="18.75">
      <c r="A55" s="156"/>
      <c r="B55" s="66"/>
      <c r="C55" s="66"/>
      <c r="D55" s="66"/>
      <c r="E55" s="66"/>
      <c r="F55" s="66"/>
      <c r="G55" s="66"/>
      <c r="H55" s="163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</row>
    <row r="56" spans="1:24" ht="18.75">
      <c r="A56" s="156"/>
      <c r="B56" s="66"/>
      <c r="C56" s="66"/>
      <c r="D56" s="66"/>
      <c r="E56" s="66"/>
      <c r="F56" s="66"/>
      <c r="G56" s="66"/>
      <c r="H56" s="163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</row>
    <row r="57" spans="1:24" ht="18.75">
      <c r="A57" s="156"/>
      <c r="B57" s="66"/>
      <c r="C57" s="66"/>
      <c r="D57" s="66"/>
      <c r="E57" s="66"/>
      <c r="F57" s="66"/>
      <c r="G57" s="66"/>
      <c r="H57" s="163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</row>
    <row r="58" spans="1:24" ht="18.75">
      <c r="A58" s="156"/>
      <c r="B58" s="66"/>
      <c r="C58" s="66"/>
      <c r="D58" s="66"/>
      <c r="E58" s="66"/>
      <c r="F58" s="66"/>
      <c r="G58" s="66"/>
      <c r="H58" s="163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</row>
    <row r="59" spans="1:24" ht="18.75">
      <c r="A59" s="156"/>
      <c r="B59" s="66"/>
      <c r="C59" s="66"/>
      <c r="D59" s="66"/>
      <c r="E59" s="66"/>
      <c r="F59" s="66"/>
      <c r="G59" s="66"/>
      <c r="H59" s="163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</row>
    <row r="60" spans="1:24" ht="18.75">
      <c r="A60" s="156"/>
      <c r="B60" s="156"/>
      <c r="C60" s="156"/>
      <c r="D60" s="156"/>
      <c r="E60" s="156"/>
      <c r="F60" s="156"/>
      <c r="G60" s="156"/>
      <c r="H60" s="163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</row>
    <row r="61" spans="1:24" ht="18.75">
      <c r="A61" s="156"/>
      <c r="B61" s="156"/>
      <c r="C61" s="156"/>
      <c r="D61" s="156"/>
      <c r="E61" s="156"/>
      <c r="F61" s="156"/>
      <c r="G61" s="156"/>
      <c r="H61" s="163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</row>
    <row r="62" spans="1:24" ht="18.75">
      <c r="A62" s="156"/>
      <c r="B62" s="156"/>
      <c r="C62" s="156"/>
      <c r="D62" s="156"/>
      <c r="E62" s="156"/>
      <c r="F62" s="156"/>
      <c r="G62" s="156"/>
      <c r="H62" s="163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</row>
    <row r="63" spans="1:24" ht="18.75">
      <c r="A63" s="156"/>
      <c r="B63" s="156"/>
      <c r="C63" s="156"/>
      <c r="D63" s="156"/>
      <c r="E63" s="156"/>
      <c r="F63" s="156"/>
      <c r="G63" s="156"/>
      <c r="H63" s="163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</row>
    <row r="64" spans="1:24" ht="18.75">
      <c r="A64" s="156"/>
      <c r="B64" s="156"/>
      <c r="C64" s="156"/>
      <c r="D64" s="156"/>
      <c r="E64" s="156"/>
      <c r="F64" s="156"/>
      <c r="G64" s="156"/>
      <c r="H64" s="163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</row>
    <row r="65" spans="1:24" ht="18.75">
      <c r="A65" s="156"/>
      <c r="B65" s="156"/>
      <c r="C65" s="156"/>
      <c r="D65" s="156"/>
      <c r="E65" s="156"/>
      <c r="F65" s="156"/>
      <c r="G65" s="156"/>
      <c r="H65" s="163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</row>
    <row r="66" spans="1:24" ht="18.75">
      <c r="A66" s="156"/>
      <c r="B66" s="156"/>
      <c r="C66" s="156"/>
      <c r="D66" s="156"/>
      <c r="E66" s="156"/>
      <c r="F66" s="156"/>
      <c r="G66" s="156"/>
      <c r="H66" s="163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</row>
    <row r="67" spans="1:24" ht="18.75">
      <c r="A67" s="156"/>
      <c r="B67" s="156"/>
      <c r="C67" s="156"/>
      <c r="D67" s="156"/>
      <c r="E67" s="156"/>
      <c r="F67" s="156"/>
      <c r="G67" s="156"/>
      <c r="H67" s="163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</row>
    <row r="68" spans="1:24" ht="18.75">
      <c r="A68" s="156"/>
      <c r="B68" s="156"/>
      <c r="C68" s="156"/>
      <c r="D68" s="156"/>
      <c r="E68" s="156"/>
      <c r="F68" s="156"/>
      <c r="G68" s="156"/>
      <c r="H68" s="163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</row>
    <row r="69" spans="1:24" ht="15">
      <c r="A69" s="156"/>
      <c r="B69" s="156"/>
      <c r="C69" s="156"/>
      <c r="D69" s="156"/>
      <c r="E69" s="156"/>
      <c r="F69" s="156"/>
      <c r="G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</row>
    <row r="70" spans="1:24" ht="18.75">
      <c r="A70" s="156"/>
      <c r="B70" s="156"/>
      <c r="C70" s="156"/>
      <c r="D70" s="156"/>
      <c r="E70" s="156"/>
      <c r="F70" s="156"/>
      <c r="G70" s="156"/>
      <c r="H70" s="163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</row>
    <row r="71" spans="1:24" ht="18.75">
      <c r="A71" s="156"/>
      <c r="B71" s="156"/>
      <c r="C71" s="156"/>
      <c r="D71" s="156"/>
      <c r="E71" s="156"/>
      <c r="F71" s="156"/>
      <c r="G71" s="156"/>
      <c r="H71" s="163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</row>
    <row r="72" spans="1:24" ht="18.75">
      <c r="A72" s="156"/>
      <c r="B72" s="156"/>
      <c r="C72" s="156"/>
      <c r="D72" s="156"/>
      <c r="E72" s="156"/>
      <c r="F72" s="156"/>
      <c r="G72" s="156"/>
      <c r="H72" s="163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</row>
    <row r="73" spans="1:24" ht="15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</row>
    <row r="74" spans="1:24" ht="15">
      <c r="A74" s="156"/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</row>
    <row r="75" spans="1:24" ht="15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</row>
    <row r="76" spans="1:24" ht="15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</row>
    <row r="77" spans="1:24" ht="15">
      <c r="A77" s="156"/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</row>
    <row r="78" spans="1:24" ht="15">
      <c r="A78" s="156"/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</row>
    <row r="79" spans="1:24" ht="15">
      <c r="A79" s="156"/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</row>
    <row r="80" spans="1:24" ht="15">
      <c r="A80" s="156"/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</row>
    <row r="81" spans="1:24" ht="15">
      <c r="A81" s="156"/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</row>
    <row r="82" spans="1:24" ht="15">
      <c r="A82" s="156"/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</row>
    <row r="83" spans="1:24" ht="15">
      <c r="A83" s="156"/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</row>
    <row r="84" spans="1:24" ht="15">
      <c r="A84" s="156"/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</row>
    <row r="85" spans="1:24" ht="15">
      <c r="A85" s="156"/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</row>
    <row r="86" spans="1:24" ht="15">
      <c r="A86" s="156"/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</row>
    <row r="87" spans="1:24" ht="1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</row>
    <row r="88" spans="1:24" ht="1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</row>
    <row r="89" spans="1:24" ht="1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</row>
    <row r="90" spans="1:24" ht="15">
      <c r="A90" s="156"/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</row>
    <row r="91" spans="1:24" ht="15">
      <c r="A91" s="156"/>
      <c r="B91" s="156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</row>
    <row r="92" spans="1:24" ht="15">
      <c r="A92" s="156"/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</row>
    <row r="93" spans="1:24" ht="15">
      <c r="A93" s="156"/>
      <c r="B93" s="156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</row>
    <row r="94" spans="1:24" ht="15">
      <c r="A94" s="156"/>
      <c r="B94" s="156"/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</row>
    <row r="95" spans="1:24" ht="15">
      <c r="A95" s="156"/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</row>
    <row r="96" spans="1:24" ht="15">
      <c r="A96" s="156"/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</row>
    <row r="97" spans="1:24" ht="15">
      <c r="A97" s="156"/>
      <c r="B97" s="156"/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</row>
    <row r="98" spans="1:24" ht="15">
      <c r="A98" s="156"/>
      <c r="B98" s="156"/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</row>
    <row r="99" spans="1:24" ht="15">
      <c r="A99" s="156"/>
      <c r="B99" s="156"/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</row>
    <row r="100" spans="1:24" ht="15">
      <c r="A100" s="156"/>
      <c r="B100" s="156"/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</row>
    <row r="101" spans="1:24" ht="15">
      <c r="A101" s="156"/>
      <c r="B101" s="156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</row>
    <row r="102" spans="1:24" ht="15">
      <c r="A102" s="156"/>
      <c r="B102" s="156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</row>
    <row r="103" spans="1:24" ht="15">
      <c r="A103" s="156"/>
      <c r="B103" s="156"/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</row>
    <row r="104" spans="1:24" ht="15">
      <c r="A104" s="156"/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</row>
    <row r="105" spans="1:24" ht="15">
      <c r="A105" s="156"/>
      <c r="B105" s="156"/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</row>
    <row r="106" spans="1:24" ht="15">
      <c r="A106" s="156"/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</row>
    <row r="107" spans="1:24" ht="15">
      <c r="A107" s="156"/>
      <c r="B107" s="156"/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</row>
    <row r="108" spans="1:24" ht="15">
      <c r="A108" s="156"/>
      <c r="B108" s="156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</row>
    <row r="109" spans="1:24" ht="15">
      <c r="A109" s="156"/>
      <c r="B109" s="156"/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</row>
    <row r="110" spans="1:24" ht="15">
      <c r="A110" s="156"/>
      <c r="B110" s="156"/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</row>
    <row r="111" spans="1:24" ht="15">
      <c r="A111" s="156"/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</row>
    <row r="112" spans="1:24" ht="15">
      <c r="A112" s="156"/>
      <c r="B112" s="156"/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</row>
    <row r="113" spans="1:24" ht="15">
      <c r="A113" s="156"/>
      <c r="B113" s="156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</row>
    <row r="114" spans="1:24" ht="15">
      <c r="A114" s="156"/>
      <c r="B114" s="156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</row>
    <row r="115" spans="1:24" ht="15">
      <c r="A115" s="156"/>
      <c r="B115" s="156"/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</row>
    <row r="116" spans="1:24" ht="15">
      <c r="A116" s="156"/>
      <c r="B116" s="156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</row>
    <row r="117" spans="1:24" ht="15">
      <c r="A117" s="156"/>
      <c r="B117" s="156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</row>
    <row r="118" spans="1:24" ht="15">
      <c r="A118" s="156"/>
      <c r="B118" s="156"/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</row>
    <row r="119" spans="1:24" ht="15">
      <c r="A119" s="156"/>
      <c r="B119" s="156"/>
      <c r="C119" s="156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</row>
    <row r="120" spans="1:24" ht="15">
      <c r="A120" s="156"/>
      <c r="B120" s="156"/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</row>
    <row r="121" spans="1:24" ht="15">
      <c r="A121" s="156"/>
      <c r="B121" s="156"/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</row>
  </sheetData>
  <sheetProtection/>
  <mergeCells count="33">
    <mergeCell ref="C25:E25"/>
    <mergeCell ref="B53:C53"/>
    <mergeCell ref="D20:G20"/>
    <mergeCell ref="B10:C10"/>
    <mergeCell ref="B11:C11"/>
    <mergeCell ref="D10:G10"/>
    <mergeCell ref="D11:G11"/>
    <mergeCell ref="B13:G13"/>
    <mergeCell ref="B15:C15"/>
    <mergeCell ref="D15:G15"/>
    <mergeCell ref="D3:G4"/>
    <mergeCell ref="D5:G6"/>
    <mergeCell ref="H5:K6"/>
    <mergeCell ref="L5:L6"/>
    <mergeCell ref="D7:G8"/>
    <mergeCell ref="H7:K8"/>
    <mergeCell ref="L7:L8"/>
    <mergeCell ref="D16:G16"/>
    <mergeCell ref="D17:G17"/>
    <mergeCell ref="D18:G18"/>
    <mergeCell ref="D19:G19"/>
    <mergeCell ref="B12:C12"/>
    <mergeCell ref="B16:C16"/>
    <mergeCell ref="B17:C17"/>
    <mergeCell ref="B18:C18"/>
    <mergeCell ref="D21:G21"/>
    <mergeCell ref="D22:G22"/>
    <mergeCell ref="D23:G23"/>
    <mergeCell ref="B19:C19"/>
    <mergeCell ref="B20:C20"/>
    <mergeCell ref="B21:C21"/>
    <mergeCell ref="B22:C22"/>
    <mergeCell ref="B23:C23"/>
  </mergeCells>
  <printOptions/>
  <pageMargins left="0.511811024" right="0.511811024" top="0.787401575" bottom="0.787401575" header="0.31496062" footer="0.31496062"/>
  <pageSetup horizontalDpi="600" verticalDpi="600" orientation="portrait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54"/>
  <sheetViews>
    <sheetView tabSelected="1" view="pageBreakPreview" zoomScale="91" zoomScaleSheetLayoutView="91" zoomScalePageLayoutView="0" workbookViewId="0" topLeftCell="A1">
      <selection activeCell="J3" sqref="J3"/>
    </sheetView>
  </sheetViews>
  <sheetFormatPr defaultColWidth="9.140625" defaultRowHeight="15"/>
  <cols>
    <col min="1" max="1" width="9.140625" style="328" customWidth="1"/>
    <col min="2" max="2" width="12.140625" style="328" customWidth="1"/>
    <col min="3" max="3" width="9.140625" style="328" customWidth="1"/>
    <col min="4" max="4" width="16.7109375" style="328" customWidth="1"/>
    <col min="5" max="5" width="17.28125" style="328" customWidth="1"/>
    <col min="6" max="6" width="9.140625" style="328" customWidth="1"/>
    <col min="7" max="7" width="11.57421875" style="328" customWidth="1"/>
    <col min="8" max="8" width="14.28125" style="328" bestFit="1" customWidth="1"/>
    <col min="9" max="16384" width="9.140625" style="328" customWidth="1"/>
  </cols>
  <sheetData>
    <row r="2" spans="2:8" ht="12" customHeight="1">
      <c r="B2" s="30"/>
      <c r="C2" s="31"/>
      <c r="D2" s="735" t="s">
        <v>212</v>
      </c>
      <c r="E2" s="735"/>
      <c r="F2" s="735"/>
      <c r="G2" s="735"/>
      <c r="H2" s="735"/>
    </row>
    <row r="3" spans="2:8" ht="12" customHeight="1">
      <c r="B3" s="32"/>
      <c r="C3" s="33"/>
      <c r="D3" s="735"/>
      <c r="E3" s="735"/>
      <c r="F3" s="735"/>
      <c r="G3" s="735"/>
      <c r="H3" s="735"/>
    </row>
    <row r="4" spans="2:8" ht="12" customHeight="1">
      <c r="B4" s="32"/>
      <c r="C4" s="33"/>
      <c r="D4" s="768" t="s">
        <v>211</v>
      </c>
      <c r="E4" s="768"/>
      <c r="F4" s="768"/>
      <c r="G4" s="768"/>
      <c r="H4" s="768"/>
    </row>
    <row r="5" spans="2:8" ht="12" customHeight="1">
      <c r="B5" s="32"/>
      <c r="C5" s="33"/>
      <c r="D5" s="768"/>
      <c r="E5" s="768"/>
      <c r="F5" s="768"/>
      <c r="G5" s="768"/>
      <c r="H5" s="768"/>
    </row>
    <row r="6" spans="2:8" ht="12" customHeight="1">
      <c r="B6" s="32"/>
      <c r="C6" s="33"/>
      <c r="D6" s="768" t="s">
        <v>47</v>
      </c>
      <c r="E6" s="768"/>
      <c r="F6" s="768"/>
      <c r="G6" s="768"/>
      <c r="H6" s="768"/>
    </row>
    <row r="7" spans="2:8" ht="12" customHeight="1">
      <c r="B7" s="34"/>
      <c r="C7" s="35"/>
      <c r="D7" s="768"/>
      <c r="E7" s="768"/>
      <c r="F7" s="768"/>
      <c r="G7" s="768"/>
      <c r="H7" s="768"/>
    </row>
    <row r="8" spans="2:7" ht="6.75" customHeight="1">
      <c r="B8" s="11"/>
      <c r="C8" s="12"/>
      <c r="D8" s="12"/>
      <c r="E8" s="12"/>
      <c r="F8" s="11"/>
      <c r="G8" s="17"/>
    </row>
    <row r="9" spans="2:8" ht="18" customHeight="1">
      <c r="B9" s="883" t="s">
        <v>108</v>
      </c>
      <c r="C9" s="902"/>
      <c r="D9" s="902"/>
      <c r="E9" s="884"/>
      <c r="F9" s="896" t="s">
        <v>1067</v>
      </c>
      <c r="G9" s="897"/>
      <c r="H9" s="898"/>
    </row>
    <row r="10" spans="2:8" ht="18" customHeight="1">
      <c r="B10" s="903" t="s">
        <v>88</v>
      </c>
      <c r="C10" s="904"/>
      <c r="D10" s="904"/>
      <c r="E10" s="905"/>
      <c r="F10" s="899" t="s">
        <v>1061</v>
      </c>
      <c r="G10" s="900"/>
      <c r="H10" s="901"/>
    </row>
    <row r="11" ht="6" customHeight="1" thickBot="1"/>
    <row r="12" spans="2:8" ht="19.5" customHeight="1" thickBot="1">
      <c r="B12" s="933" t="s">
        <v>142</v>
      </c>
      <c r="C12" s="934"/>
      <c r="D12" s="934"/>
      <c r="E12" s="934"/>
      <c r="F12" s="934"/>
      <c r="G12" s="934"/>
      <c r="H12" s="935"/>
    </row>
    <row r="13" spans="2:8" ht="4.5" customHeight="1">
      <c r="B13" s="343"/>
      <c r="C13" s="343"/>
      <c r="D13" s="343"/>
      <c r="E13" s="343"/>
      <c r="F13" s="343"/>
      <c r="G13" s="343"/>
      <c r="H13" s="343"/>
    </row>
    <row r="14" spans="2:8" ht="15.75" thickBot="1">
      <c r="B14" s="486" t="s">
        <v>143</v>
      </c>
      <c r="C14" s="936" t="s">
        <v>67</v>
      </c>
      <c r="D14" s="936"/>
      <c r="E14" s="936"/>
      <c r="F14" s="936"/>
      <c r="G14" s="487" t="s">
        <v>144</v>
      </c>
      <c r="H14" s="488" t="s">
        <v>145</v>
      </c>
    </row>
    <row r="15" spans="2:8" ht="15">
      <c r="B15" s="924" t="s">
        <v>146</v>
      </c>
      <c r="C15" s="925"/>
      <c r="D15" s="925"/>
      <c r="E15" s="925"/>
      <c r="F15" s="925"/>
      <c r="G15" s="925"/>
      <c r="H15" s="926"/>
    </row>
    <row r="16" spans="2:8" ht="15">
      <c r="B16" s="329" t="s">
        <v>147</v>
      </c>
      <c r="C16" s="906" t="s">
        <v>148</v>
      </c>
      <c r="D16" s="906"/>
      <c r="E16" s="906"/>
      <c r="F16" s="906"/>
      <c r="G16" s="330">
        <v>0</v>
      </c>
      <c r="H16" s="331">
        <v>0</v>
      </c>
    </row>
    <row r="17" spans="2:8" ht="15">
      <c r="B17" s="329" t="s">
        <v>149</v>
      </c>
      <c r="C17" s="906" t="s">
        <v>150</v>
      </c>
      <c r="D17" s="906"/>
      <c r="E17" s="906"/>
      <c r="F17" s="906"/>
      <c r="G17" s="330">
        <v>1.5</v>
      </c>
      <c r="H17" s="331">
        <v>1.5</v>
      </c>
    </row>
    <row r="18" spans="2:8" ht="15">
      <c r="B18" s="329" t="s">
        <v>151</v>
      </c>
      <c r="C18" s="906" t="s">
        <v>152</v>
      </c>
      <c r="D18" s="906"/>
      <c r="E18" s="906"/>
      <c r="F18" s="906"/>
      <c r="G18" s="330">
        <v>1</v>
      </c>
      <c r="H18" s="331">
        <v>1</v>
      </c>
    </row>
    <row r="19" spans="2:8" ht="15">
      <c r="B19" s="329" t="s">
        <v>153</v>
      </c>
      <c r="C19" s="906" t="s">
        <v>154</v>
      </c>
      <c r="D19" s="906"/>
      <c r="E19" s="906"/>
      <c r="F19" s="906"/>
      <c r="G19" s="330">
        <v>0.2</v>
      </c>
      <c r="H19" s="331">
        <v>0.2</v>
      </c>
    </row>
    <row r="20" spans="2:8" ht="15">
      <c r="B20" s="329" t="s">
        <v>155</v>
      </c>
      <c r="C20" s="906" t="s">
        <v>156</v>
      </c>
      <c r="D20" s="906"/>
      <c r="E20" s="906"/>
      <c r="F20" s="906"/>
      <c r="G20" s="330">
        <v>0.6</v>
      </c>
      <c r="H20" s="331">
        <v>0.6</v>
      </c>
    </row>
    <row r="21" spans="2:8" ht="15">
      <c r="B21" s="329" t="s">
        <v>157</v>
      </c>
      <c r="C21" s="906" t="s">
        <v>158</v>
      </c>
      <c r="D21" s="906"/>
      <c r="E21" s="906"/>
      <c r="F21" s="906"/>
      <c r="G21" s="330">
        <v>2.5</v>
      </c>
      <c r="H21" s="331">
        <v>2.5</v>
      </c>
    </row>
    <row r="22" spans="2:8" ht="15">
      <c r="B22" s="329" t="s">
        <v>159</v>
      </c>
      <c r="C22" s="906" t="s">
        <v>160</v>
      </c>
      <c r="D22" s="906"/>
      <c r="E22" s="906"/>
      <c r="F22" s="906"/>
      <c r="G22" s="330">
        <v>3</v>
      </c>
      <c r="H22" s="331">
        <v>3</v>
      </c>
    </row>
    <row r="23" spans="2:8" ht="15">
      <c r="B23" s="329" t="s">
        <v>161</v>
      </c>
      <c r="C23" s="906" t="s">
        <v>162</v>
      </c>
      <c r="D23" s="906"/>
      <c r="E23" s="906"/>
      <c r="F23" s="906"/>
      <c r="G23" s="330">
        <v>8</v>
      </c>
      <c r="H23" s="331">
        <v>8</v>
      </c>
    </row>
    <row r="24" spans="2:8" ht="15.75" thickBot="1">
      <c r="B24" s="332" t="s">
        <v>163</v>
      </c>
      <c r="C24" s="932" t="s">
        <v>164</v>
      </c>
      <c r="D24" s="932"/>
      <c r="E24" s="932"/>
      <c r="F24" s="932"/>
      <c r="G24" s="333">
        <v>0</v>
      </c>
      <c r="H24" s="334">
        <v>0</v>
      </c>
    </row>
    <row r="25" spans="2:8" ht="15.75" thickBot="1">
      <c r="B25" s="335" t="s">
        <v>165</v>
      </c>
      <c r="C25" s="931" t="s">
        <v>166</v>
      </c>
      <c r="D25" s="931"/>
      <c r="E25" s="931"/>
      <c r="F25" s="931"/>
      <c r="G25" s="336">
        <f>SUM(G16:G24)</f>
        <v>16.8</v>
      </c>
      <c r="H25" s="337">
        <f>SUM(H16:H24)</f>
        <v>16.8</v>
      </c>
    </row>
    <row r="26" spans="2:8" ht="9" customHeight="1" thickBot="1">
      <c r="B26" s="921"/>
      <c r="C26" s="922"/>
      <c r="D26" s="922"/>
      <c r="E26" s="922"/>
      <c r="F26" s="922"/>
      <c r="G26" s="922"/>
      <c r="H26" s="923"/>
    </row>
    <row r="27" spans="2:8" ht="15">
      <c r="B27" s="924" t="s">
        <v>167</v>
      </c>
      <c r="C27" s="925"/>
      <c r="D27" s="925"/>
      <c r="E27" s="925"/>
      <c r="F27" s="925"/>
      <c r="G27" s="925"/>
      <c r="H27" s="926"/>
    </row>
    <row r="28" spans="2:8" ht="15">
      <c r="B28" s="329" t="s">
        <v>168</v>
      </c>
      <c r="C28" s="906" t="s">
        <v>169</v>
      </c>
      <c r="D28" s="906"/>
      <c r="E28" s="906"/>
      <c r="F28" s="906"/>
      <c r="G28" s="330">
        <v>17.84</v>
      </c>
      <c r="H28" s="331">
        <v>0</v>
      </c>
    </row>
    <row r="29" spans="2:8" ht="15">
      <c r="B29" s="329" t="s">
        <v>170</v>
      </c>
      <c r="C29" s="906" t="s">
        <v>171</v>
      </c>
      <c r="D29" s="906"/>
      <c r="E29" s="906"/>
      <c r="F29" s="906"/>
      <c r="G29" s="330">
        <v>3.95</v>
      </c>
      <c r="H29" s="331">
        <v>0</v>
      </c>
    </row>
    <row r="30" spans="2:8" ht="15">
      <c r="B30" s="329" t="s">
        <v>172</v>
      </c>
      <c r="C30" s="906" t="s">
        <v>173</v>
      </c>
      <c r="D30" s="906"/>
      <c r="E30" s="906"/>
      <c r="F30" s="906"/>
      <c r="G30" s="330">
        <v>0.92</v>
      </c>
      <c r="H30" s="331">
        <v>0.69</v>
      </c>
    </row>
    <row r="31" spans="2:8" ht="15">
      <c r="B31" s="329" t="s">
        <v>174</v>
      </c>
      <c r="C31" s="906" t="s">
        <v>175</v>
      </c>
      <c r="D31" s="906"/>
      <c r="E31" s="906"/>
      <c r="F31" s="906"/>
      <c r="G31" s="338">
        <v>11.02</v>
      </c>
      <c r="H31" s="339">
        <v>8.33</v>
      </c>
    </row>
    <row r="32" spans="2:8" ht="15">
      <c r="B32" s="329" t="s">
        <v>176</v>
      </c>
      <c r="C32" s="906" t="s">
        <v>177</v>
      </c>
      <c r="D32" s="906"/>
      <c r="E32" s="906"/>
      <c r="F32" s="906"/>
      <c r="G32" s="330">
        <v>0.08</v>
      </c>
      <c r="H32" s="331">
        <v>0.06</v>
      </c>
    </row>
    <row r="33" spans="2:8" ht="15">
      <c r="B33" s="329" t="s">
        <v>178</v>
      </c>
      <c r="C33" s="928" t="s">
        <v>179</v>
      </c>
      <c r="D33" s="929"/>
      <c r="E33" s="929"/>
      <c r="F33" s="930"/>
      <c r="G33" s="330">
        <v>0.73</v>
      </c>
      <c r="H33" s="331">
        <v>0.56</v>
      </c>
    </row>
    <row r="34" spans="2:8" ht="15">
      <c r="B34" s="329" t="s">
        <v>180</v>
      </c>
      <c r="C34" s="928" t="s">
        <v>181</v>
      </c>
      <c r="D34" s="929"/>
      <c r="E34" s="929"/>
      <c r="F34" s="930"/>
      <c r="G34" s="330">
        <v>1.2</v>
      </c>
      <c r="H34" s="331">
        <v>0</v>
      </c>
    </row>
    <row r="35" spans="2:8" ht="15">
      <c r="B35" s="329" t="s">
        <v>182</v>
      </c>
      <c r="C35" s="928" t="s">
        <v>183</v>
      </c>
      <c r="D35" s="929"/>
      <c r="E35" s="929"/>
      <c r="F35" s="930"/>
      <c r="G35" s="330">
        <v>0.12</v>
      </c>
      <c r="H35" s="331">
        <v>0.09</v>
      </c>
    </row>
    <row r="36" spans="2:8" ht="15">
      <c r="B36" s="329" t="s">
        <v>184</v>
      </c>
      <c r="C36" s="906" t="s">
        <v>185</v>
      </c>
      <c r="D36" s="906"/>
      <c r="E36" s="906"/>
      <c r="F36" s="906"/>
      <c r="G36" s="330">
        <v>12.43</v>
      </c>
      <c r="H36" s="331">
        <v>9.39</v>
      </c>
    </row>
    <row r="37" spans="2:8" ht="15">
      <c r="B37" s="329" t="s">
        <v>186</v>
      </c>
      <c r="C37" s="906" t="s">
        <v>187</v>
      </c>
      <c r="D37" s="906"/>
      <c r="E37" s="906"/>
      <c r="F37" s="906"/>
      <c r="G37" s="330">
        <v>0.03</v>
      </c>
      <c r="H37" s="331">
        <v>0.02</v>
      </c>
    </row>
    <row r="38" spans="2:8" ht="15.75" thickBot="1">
      <c r="B38" s="340" t="s">
        <v>188</v>
      </c>
      <c r="C38" s="927" t="s">
        <v>189</v>
      </c>
      <c r="D38" s="927"/>
      <c r="E38" s="927"/>
      <c r="F38" s="927"/>
      <c r="G38" s="341">
        <f>SUM(G28:G37)</f>
        <v>48.32</v>
      </c>
      <c r="H38" s="342">
        <f>SUM(H28:H37)</f>
        <v>19.14</v>
      </c>
    </row>
    <row r="39" spans="2:8" ht="9.75" customHeight="1" thickBot="1">
      <c r="B39" s="921"/>
      <c r="C39" s="922"/>
      <c r="D39" s="922"/>
      <c r="E39" s="922"/>
      <c r="F39" s="922"/>
      <c r="G39" s="922"/>
      <c r="H39" s="923"/>
    </row>
    <row r="40" spans="2:8" ht="15">
      <c r="B40" s="924" t="s">
        <v>190</v>
      </c>
      <c r="C40" s="925"/>
      <c r="D40" s="925"/>
      <c r="E40" s="925"/>
      <c r="F40" s="925"/>
      <c r="G40" s="925"/>
      <c r="H40" s="926"/>
    </row>
    <row r="41" spans="2:8" ht="15">
      <c r="B41" s="329" t="s">
        <v>191</v>
      </c>
      <c r="C41" s="906" t="s">
        <v>192</v>
      </c>
      <c r="D41" s="906"/>
      <c r="E41" s="906"/>
      <c r="F41" s="906"/>
      <c r="G41" s="330">
        <v>7.73</v>
      </c>
      <c r="H41" s="331">
        <v>5.85</v>
      </c>
    </row>
    <row r="42" spans="2:8" ht="15">
      <c r="B42" s="329" t="s">
        <v>193</v>
      </c>
      <c r="C42" s="906" t="s">
        <v>194</v>
      </c>
      <c r="D42" s="906"/>
      <c r="E42" s="906"/>
      <c r="F42" s="906"/>
      <c r="G42" s="330">
        <v>0.42</v>
      </c>
      <c r="H42" s="331">
        <v>0.32</v>
      </c>
    </row>
    <row r="43" spans="2:8" ht="15">
      <c r="B43" s="329" t="s">
        <v>195</v>
      </c>
      <c r="C43" s="906" t="s">
        <v>196</v>
      </c>
      <c r="D43" s="906"/>
      <c r="E43" s="906"/>
      <c r="F43" s="906"/>
      <c r="G43" s="330">
        <v>1.74</v>
      </c>
      <c r="H43" s="331">
        <v>1.31</v>
      </c>
    </row>
    <row r="44" spans="2:8" ht="15">
      <c r="B44" s="329" t="s">
        <v>197</v>
      </c>
      <c r="C44" s="906" t="s">
        <v>198</v>
      </c>
      <c r="D44" s="906"/>
      <c r="E44" s="906"/>
      <c r="F44" s="906"/>
      <c r="G44" s="330">
        <v>4.99</v>
      </c>
      <c r="H44" s="331">
        <v>3.78</v>
      </c>
    </row>
    <row r="45" spans="2:8" ht="15">
      <c r="B45" s="329" t="s">
        <v>199</v>
      </c>
      <c r="C45" s="906" t="s">
        <v>200</v>
      </c>
      <c r="D45" s="906"/>
      <c r="E45" s="906"/>
      <c r="F45" s="906"/>
      <c r="G45" s="330">
        <v>0.65</v>
      </c>
      <c r="H45" s="331">
        <v>0.49</v>
      </c>
    </row>
    <row r="46" spans="2:8" ht="27.75" customHeight="1" thickBot="1">
      <c r="B46" s="340" t="s">
        <v>201</v>
      </c>
      <c r="C46" s="910" t="s">
        <v>202</v>
      </c>
      <c r="D46" s="911"/>
      <c r="E46" s="911"/>
      <c r="F46" s="912"/>
      <c r="G46" s="341">
        <f>SUM(G41:G45)</f>
        <v>15.530000000000001</v>
      </c>
      <c r="H46" s="342">
        <f>SUM(H41:H45)</f>
        <v>11.75</v>
      </c>
    </row>
    <row r="47" spans="2:8" ht="10.5" customHeight="1" thickBot="1">
      <c r="B47" s="921"/>
      <c r="C47" s="922"/>
      <c r="D47" s="922"/>
      <c r="E47" s="922"/>
      <c r="F47" s="922"/>
      <c r="G47" s="922"/>
      <c r="H47" s="923"/>
    </row>
    <row r="48" spans="2:8" ht="15">
      <c r="B48" s="924" t="s">
        <v>203</v>
      </c>
      <c r="C48" s="925"/>
      <c r="D48" s="925"/>
      <c r="E48" s="925"/>
      <c r="F48" s="925"/>
      <c r="G48" s="925"/>
      <c r="H48" s="926"/>
    </row>
    <row r="49" spans="2:8" ht="15">
      <c r="B49" s="329" t="s">
        <v>204</v>
      </c>
      <c r="C49" s="906" t="s">
        <v>205</v>
      </c>
      <c r="D49" s="906"/>
      <c r="E49" s="906"/>
      <c r="F49" s="906"/>
      <c r="G49" s="330">
        <v>8.12</v>
      </c>
      <c r="H49" s="331">
        <v>3.22</v>
      </c>
    </row>
    <row r="50" spans="2:8" ht="26.25" customHeight="1">
      <c r="B50" s="329" t="s">
        <v>206</v>
      </c>
      <c r="C50" s="907" t="s">
        <v>207</v>
      </c>
      <c r="D50" s="908"/>
      <c r="E50" s="908"/>
      <c r="F50" s="909"/>
      <c r="G50" s="330">
        <v>0.69</v>
      </c>
      <c r="H50" s="331">
        <v>0.52</v>
      </c>
    </row>
    <row r="51" spans="2:8" ht="15.75" thickBot="1">
      <c r="B51" s="340" t="s">
        <v>208</v>
      </c>
      <c r="C51" s="910" t="s">
        <v>209</v>
      </c>
      <c r="D51" s="911"/>
      <c r="E51" s="911"/>
      <c r="F51" s="912"/>
      <c r="G51" s="341">
        <f>SUM(G49:G50)</f>
        <v>8.809999999999999</v>
      </c>
      <c r="H51" s="342">
        <f>SUM(H49:H50)</f>
        <v>3.74</v>
      </c>
    </row>
    <row r="52" spans="2:8" ht="15">
      <c r="B52" s="913"/>
      <c r="C52" s="914"/>
      <c r="D52" s="914"/>
      <c r="E52" s="914"/>
      <c r="F52" s="914"/>
      <c r="G52" s="914"/>
      <c r="H52" s="915"/>
    </row>
    <row r="53" spans="2:8" ht="15">
      <c r="B53" s="916" t="s">
        <v>210</v>
      </c>
      <c r="C53" s="917"/>
      <c r="D53" s="917"/>
      <c r="E53" s="917"/>
      <c r="F53" s="917"/>
      <c r="G53" s="489">
        <f>SUM(G51+G46+G38+G25)</f>
        <v>89.46</v>
      </c>
      <c r="H53" s="490">
        <f>SUM(H51+H46+H38+H25)</f>
        <v>51.43000000000001</v>
      </c>
    </row>
    <row r="54" spans="2:8" ht="12.75" customHeight="1" thickBot="1">
      <c r="B54" s="918"/>
      <c r="C54" s="919"/>
      <c r="D54" s="919"/>
      <c r="E54" s="919"/>
      <c r="F54" s="919"/>
      <c r="G54" s="919"/>
      <c r="H54" s="920"/>
    </row>
  </sheetData>
  <sheetProtection/>
  <mergeCells count="49">
    <mergeCell ref="B12:H12"/>
    <mergeCell ref="C14:F14"/>
    <mergeCell ref="B15:H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B26:H26"/>
    <mergeCell ref="B27:H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B39:H39"/>
    <mergeCell ref="B40:H40"/>
    <mergeCell ref="C41:F41"/>
    <mergeCell ref="C42:F42"/>
    <mergeCell ref="C43:F43"/>
    <mergeCell ref="C44:F44"/>
    <mergeCell ref="C45:F45"/>
    <mergeCell ref="C46:F46"/>
    <mergeCell ref="B47:H47"/>
    <mergeCell ref="B48:H48"/>
    <mergeCell ref="C49:F49"/>
    <mergeCell ref="C50:F50"/>
    <mergeCell ref="C51:F51"/>
    <mergeCell ref="B52:H52"/>
    <mergeCell ref="B53:F53"/>
    <mergeCell ref="B54:H54"/>
    <mergeCell ref="F9:H9"/>
    <mergeCell ref="F10:H10"/>
    <mergeCell ref="B9:E9"/>
    <mergeCell ref="B10:E10"/>
    <mergeCell ref="D2:H3"/>
    <mergeCell ref="D4:H5"/>
    <mergeCell ref="D6:H7"/>
  </mergeCells>
  <printOptions horizontalCentered="1"/>
  <pageMargins left="0.5118110236220472" right="0.5118110236220472" top="0.7874015748031497" bottom="0.7874015748031497" header="0.31496062992125984" footer="0.31496062992125984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SESAPI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HPP</dc:creator>
  <cp:keywords/>
  <dc:description/>
  <cp:lastModifiedBy>NIS ENGENHARIA2</cp:lastModifiedBy>
  <cp:lastPrinted>2015-04-24T14:06:15Z</cp:lastPrinted>
  <dcterms:created xsi:type="dcterms:W3CDTF">2008-07-14T14:43:26Z</dcterms:created>
  <dcterms:modified xsi:type="dcterms:W3CDTF">2015-04-24T14:06:19Z</dcterms:modified>
  <cp:category/>
  <cp:version/>
  <cp:contentType/>
  <cp:contentStatus/>
</cp:coreProperties>
</file>