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20" yWindow="1530" windowWidth="11280" windowHeight="6210" tabRatio="695" activeTab="2"/>
  </bookViews>
  <sheets>
    <sheet name="Orçamento" sheetId="1" r:id="rId1"/>
    <sheet name="Cronograma" sheetId="2" r:id="rId2"/>
    <sheet name="Memorial de Cálculo" sheetId="3" r:id="rId3"/>
    <sheet name="Composições de Custo" sheetId="4" r:id="rId4"/>
    <sheet name="BDI" sheetId="5" r:id="rId5"/>
    <sheet name="LEIS SOCIAIS" sheetId="6" r:id="rId6"/>
  </sheets>
  <definedNames>
    <definedName name="_xlnm.Print_Area" localSheetId="4">'BDI'!$B$3:$G$58</definedName>
    <definedName name="_xlnm.Print_Area" localSheetId="3">'Composições de Custo'!$B$2:$J$311</definedName>
    <definedName name="_xlnm.Print_Area" localSheetId="1">'Cronograma'!$B$2:$T$51</definedName>
    <definedName name="_xlnm.Print_Area" localSheetId="5">'LEIS SOCIAIS'!$B$2:$H$54</definedName>
    <definedName name="_xlnm.Print_Area" localSheetId="2">'Memorial de Cálculo'!$B$2:$L$800</definedName>
    <definedName name="_xlnm.Print_Area" localSheetId="0">'Orçamento'!$B$2:$L$349</definedName>
    <definedName name="_xlnm.Print_Titles" localSheetId="3">'Composições de Custo'!$2:$14</definedName>
    <definedName name="_xlnm.Print_Titles" localSheetId="2">'Memorial de Cálculo'!$14:$14</definedName>
    <definedName name="_xlnm.Print_Titles" localSheetId="0">'Orçamento'!$14:$15</definedName>
  </definedNames>
  <calcPr fullCalcOnLoad="1"/>
</workbook>
</file>

<file path=xl/sharedStrings.xml><?xml version="1.0" encoding="utf-8"?>
<sst xmlns="http://schemas.openxmlformats.org/spreadsheetml/2006/main" count="2746" uniqueCount="1178">
  <si>
    <t>m2</t>
  </si>
  <si>
    <t>unid.</t>
  </si>
  <si>
    <t>Item</t>
  </si>
  <si>
    <t>Discriminação</t>
  </si>
  <si>
    <t>Unidade</t>
  </si>
  <si>
    <t>Quantidade</t>
  </si>
  <si>
    <t>1.00</t>
  </si>
  <si>
    <t>SERVIÇOS PRELIMINARES</t>
  </si>
  <si>
    <t>3.00</t>
  </si>
  <si>
    <t>4.00</t>
  </si>
  <si>
    <t>5.00</t>
  </si>
  <si>
    <t>PAVIMENTAÇÃO</t>
  </si>
  <si>
    <t>PINTURA</t>
  </si>
  <si>
    <t>DIVERSOS</t>
  </si>
  <si>
    <t>Custo Unitário</t>
  </si>
  <si>
    <t>TOTAL</t>
  </si>
  <si>
    <t>ITEM</t>
  </si>
  <si>
    <t>DISCRIMINAÇÃO</t>
  </si>
  <si>
    <t>m3</t>
  </si>
  <si>
    <t>INFRA-ESTRUTURA</t>
  </si>
  <si>
    <t>COBERTURA</t>
  </si>
  <si>
    <t>SUPERESTRUTURA</t>
  </si>
  <si>
    <t>9.00</t>
  </si>
  <si>
    <t>% DO ITEM</t>
  </si>
  <si>
    <t>VALOR DO ITEM</t>
  </si>
  <si>
    <t>30 DIAS</t>
  </si>
  <si>
    <t>60 DIAS</t>
  </si>
  <si>
    <t>%</t>
  </si>
  <si>
    <t>VALOR</t>
  </si>
  <si>
    <t>TOTAL DO PERÍODO (R$)</t>
  </si>
  <si>
    <t>TOTAL DO PERÍODO (%)</t>
  </si>
  <si>
    <t>PLANILHA  ORÇAMENTÁRIA</t>
  </si>
  <si>
    <t>Placa da obra - 300 x 150</t>
  </si>
  <si>
    <t>90 DIAS</t>
  </si>
  <si>
    <t>m</t>
  </si>
  <si>
    <t>COORDENAÇÃO DE INFRA-ESTRUTURA EM SAÚDE</t>
  </si>
  <si>
    <t>% Serviço</t>
  </si>
  <si>
    <t>Limpeza da obra</t>
  </si>
  <si>
    <t>INSTALAÇÃO ELÉTRICA</t>
  </si>
  <si>
    <t>m²</t>
  </si>
  <si>
    <t>Referência</t>
  </si>
  <si>
    <t>Código</t>
  </si>
  <si>
    <t>SINAPI</t>
  </si>
  <si>
    <t>74209/001</t>
  </si>
  <si>
    <t>Preço Total</t>
  </si>
  <si>
    <t>Preço Total do Item</t>
  </si>
  <si>
    <t>SEINFRA</t>
  </si>
  <si>
    <t>GABINETE DO SECRETÁRIO</t>
  </si>
  <si>
    <t>NÚCLEO DE INFRA-ESTRUTURA EM SAÚDE - NIS</t>
  </si>
  <si>
    <t>UNID</t>
  </si>
  <si>
    <t>ORSE</t>
  </si>
  <si>
    <t>CRONOGRAMA FÍSICO-FINANCEIRO</t>
  </si>
  <si>
    <t>MEMORIAL DE CÁLCULO</t>
  </si>
  <si>
    <t>APLICAÇÃO</t>
  </si>
  <si>
    <t>LARGURA</t>
  </si>
  <si>
    <t>ALTURA</t>
  </si>
  <si>
    <t>AREA</t>
  </si>
  <si>
    <t>VOLUME</t>
  </si>
  <si>
    <t>5. PIS</t>
  </si>
  <si>
    <t>4. ISSQN</t>
  </si>
  <si>
    <t>Percentuais (%)</t>
  </si>
  <si>
    <t>Utilidades</t>
  </si>
  <si>
    <t>Interno</t>
  </si>
  <si>
    <t>Externo</t>
  </si>
  <si>
    <t>73775/002</t>
  </si>
  <si>
    <t>2.00</t>
  </si>
  <si>
    <t>9.1</t>
  </si>
  <si>
    <t>COMPOSIÇÃO DO BDI</t>
  </si>
  <si>
    <t>DESCRIÇÃO</t>
  </si>
  <si>
    <t>1. LUCRO</t>
  </si>
  <si>
    <t>2. ADMINISTRAÇÃO CENTRAL</t>
  </si>
  <si>
    <t>3. DESPESAS FINANCEIRAS</t>
  </si>
  <si>
    <t>6. CPRB (2% SOBRE FATURAMENTO)</t>
  </si>
  <si>
    <t>7. COFINS</t>
  </si>
  <si>
    <t>8. GARANTIAS, SEGUROS E RISCOS</t>
  </si>
  <si>
    <t>X(%)=</t>
  </si>
  <si>
    <t>Y(%)=</t>
  </si>
  <si>
    <t>Z(%)=</t>
  </si>
  <si>
    <t>l(%)=</t>
  </si>
  <si>
    <t>Aplicando na fórmula acima, temos:</t>
  </si>
  <si>
    <t>BDI(%)=</t>
  </si>
  <si>
    <t>Preço Unitário Com BDI (%)</t>
  </si>
  <si>
    <t xml:space="preserve">TOTAL CONSTRUÇÃO </t>
  </si>
  <si>
    <t>DML</t>
  </si>
  <si>
    <t>13.00</t>
  </si>
  <si>
    <t xml:space="preserve"> SINAPI </t>
  </si>
  <si>
    <t>Cintas</t>
  </si>
  <si>
    <t>73775/001</t>
  </si>
  <si>
    <t>120 DIAS</t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</si>
  <si>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Zona Rural</t>
    </r>
  </si>
  <si>
    <t>WC</t>
  </si>
  <si>
    <t>Exames</t>
  </si>
  <si>
    <t>Cozinha</t>
  </si>
  <si>
    <t>Plantão</t>
  </si>
  <si>
    <t>Estrutura metálica em tesouras ou treliças, vão livre de 12m, fornecimento e montagem</t>
  </si>
  <si>
    <t>09918</t>
  </si>
  <si>
    <t>Rufo em concreto armado, largura 40cm, espessura 3cm</t>
  </si>
  <si>
    <t>74098/001</t>
  </si>
  <si>
    <t>Chapim de concreto pré-moladado</t>
  </si>
  <si>
    <t>C0773</t>
  </si>
  <si>
    <t>Cobertura</t>
  </si>
  <si>
    <t>Paredes Externas de fechamento</t>
  </si>
  <si>
    <t>INSTALAÇÕES  HIDRO-SANITÁRIAS E ÁGUA PLUVIAL</t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</si>
  <si>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Zona Urbana</t>
    </r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</si>
  <si>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</si>
  <si>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Obra:</t>
    </r>
    <r>
      <rPr>
        <sz val="11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</si>
  <si>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Endereço:</t>
    </r>
    <r>
      <rPr>
        <sz val="11"/>
        <rFont val="Arial"/>
        <family val="2"/>
      </rPr>
      <t xml:space="preserve"> Zona Urbana</t>
    </r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</si>
  <si>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 Construção do Centro de Parto Normal (CPN)</t>
    </r>
  </si>
  <si>
    <r>
      <t>Endereço:</t>
    </r>
    <r>
      <rPr>
        <sz val="14"/>
        <rFont val="Arial"/>
        <family val="2"/>
      </rPr>
      <t xml:space="preserve">  Zona Urbana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</si>
  <si>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Construção do Centro de Parto Normal (CPN)</t>
    </r>
  </si>
  <si>
    <t>9.2</t>
  </si>
  <si>
    <t>COMPISIÇÕES DE CUSTO</t>
  </si>
  <si>
    <t>ENCARGOS SOCIAIS COM DESONERAÇÃO:</t>
  </si>
  <si>
    <t>Preço Adotado =</t>
  </si>
  <si>
    <t>Descrição</t>
  </si>
  <si>
    <t>Coeficiente</t>
  </si>
  <si>
    <t>Preço</t>
  </si>
  <si>
    <t>Total</t>
  </si>
  <si>
    <t>MAO DE OBRA</t>
  </si>
  <si>
    <t>TOTAL MAO DE OBRA</t>
  </si>
  <si>
    <t>MATERIAIS</t>
  </si>
  <si>
    <t>KG</t>
  </si>
  <si>
    <t>TOTAL MATERIAIS</t>
  </si>
  <si>
    <t>Total Simples</t>
  </si>
  <si>
    <t>Encargos</t>
  </si>
  <si>
    <t>TOTAL GERAL</t>
  </si>
  <si>
    <t>H</t>
  </si>
  <si>
    <t>UN</t>
  </si>
  <si>
    <t>88316/SINAPI</t>
  </si>
  <si>
    <t>SERVENTE COM ENCARGOS COMPLEMENTARES</t>
  </si>
  <si>
    <t>COMP.</t>
  </si>
  <si>
    <r>
      <rPr>
        <b/>
        <sz val="11"/>
        <rFont val="Arial"/>
        <family val="2"/>
      </rPr>
      <t xml:space="preserve">Obra: </t>
    </r>
    <r>
      <rPr>
        <sz val="11"/>
        <rFont val="Arial"/>
        <family val="2"/>
      </rPr>
      <t>Construção do Centro de Parto Normal (CPN)</t>
    </r>
  </si>
  <si>
    <t>Telhamento com telha de alumínio dupla, trapezoidal, tipo sanduíche 0,6mm pré pintada em duas faces, com isolamento de espuma rígida de poliuretano 30mm pintada (termoacústica)</t>
  </si>
  <si>
    <t>COMPRI/PERÍMETRO</t>
  </si>
  <si>
    <t>QUANTIDADE</t>
  </si>
  <si>
    <t>Unid: M²</t>
  </si>
  <si>
    <t>INSTALAÇÕES DE GASES MEDICINAIS</t>
  </si>
  <si>
    <t>10.1</t>
  </si>
  <si>
    <t>10.2</t>
  </si>
  <si>
    <t>14.00</t>
  </si>
  <si>
    <t>15.00</t>
  </si>
  <si>
    <t>kg</t>
  </si>
  <si>
    <t>180 DIAS</t>
  </si>
  <si>
    <t>ENCARGOS SOCIAIS SOBRE A MÃO DE OBRA - COM DESONERAÇÃO</t>
  </si>
  <si>
    <t>CÓDIGO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</si>
  <si>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</si>
  <si>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</si>
  <si>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</si>
  <si>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</si>
  <si>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</si>
  <si>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</si>
  <si>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</si>
  <si>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</si>
  <si>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</si>
  <si>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</si>
  <si>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</si>
  <si>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</si>
  <si>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</si>
  <si>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</si>
  <si>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</si>
  <si>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</si>
  <si>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</si>
  <si>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</si>
  <si>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</si>
  <si>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</si>
  <si>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</si>
  <si>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</si>
  <si>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</si>
  <si>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</si>
  <si>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</si>
  <si>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</si>
  <si>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</si>
  <si>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</si>
  <si>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</si>
  <si>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</si>
  <si>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</si>
  <si>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</si>
  <si>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</si>
  <si>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</si>
  <si>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</si>
  <si>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</si>
  <si>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</si>
  <si>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</si>
  <si>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</si>
  <si>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</si>
  <si>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</si>
  <si>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</si>
  <si>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</si>
  <si>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</si>
  <si>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</si>
  <si>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</si>
  <si>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</si>
  <si>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</si>
  <si>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</si>
  <si>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</si>
  <si>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</si>
  <si>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</si>
  <si>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</si>
  <si>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</si>
  <si>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</si>
  <si>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</si>
  <si>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</si>
  <si>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</si>
  <si>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</si>
  <si>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</si>
  <si>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</si>
  <si>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</si>
  <si>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</si>
  <si>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</si>
  <si>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</si>
  <si>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</si>
  <si>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</si>
  <si>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SECRETARIA DE ESTADO DA SAÚDE</t>
  </si>
  <si>
    <t>GOVERNO DO ESTADO DO PIAUÍ</t>
  </si>
  <si>
    <t>88256/SINAPI</t>
  </si>
  <si>
    <t>LADRILHISTA COMPLEMENTARES</t>
  </si>
  <si>
    <t>MATERIAIS/SERVIÇOS</t>
  </si>
  <si>
    <t>I00536/SINAPI</t>
  </si>
  <si>
    <t>I37329/SINAPI</t>
  </si>
  <si>
    <t>REJUNTE EPOXI BRANCO</t>
  </si>
  <si>
    <t>ARGAMASSA INDUSTRIALIZADA AC-III</t>
  </si>
  <si>
    <t>Unid: KG</t>
  </si>
  <si>
    <t>I00371/SINAPI</t>
  </si>
  <si>
    <t>ARGAMASSA INDUSTRIALIZADA</t>
  </si>
  <si>
    <t xml:space="preserve">REVESTIMENTO EM CERAMICA </t>
  </si>
  <si>
    <t>CERÂMICA  RETIFICADA APLICADA COM ARGAMASSA INDUSTRIALIZADA, REJUNTADA COM ARGAMASSA A BASE DE EPÓXI, JUNTA MÁXIMA 2MM</t>
  </si>
  <si>
    <t>74210/001</t>
  </si>
  <si>
    <t>73960/001</t>
  </si>
  <si>
    <t>CPOS</t>
  </si>
  <si>
    <t>Escavacao manual de vala em  material de 1a categoria ate 1,5m excluindoesgotamento / escoramento</t>
  </si>
  <si>
    <t>Instal/ligacao provisoria eletrica baixa tensao p/cant obra ,m3-chave 100acarga 3kwh,20cv excl forn medidor</t>
  </si>
  <si>
    <t>Barracao para deposito em tabuas de madeira, cobertura em fibrocimento 4mm, incluso piso argamassa traço 1:6 (cimento e areia)</t>
  </si>
  <si>
    <t>Entrada completa de água com abrigo e registro de gaveta, dn= 3/4´</t>
  </si>
  <si>
    <t>Reaterro de valas / cavas, compactada a maço, em camadas de até 30 cm.</t>
  </si>
  <si>
    <t>Regularizacao e compactacao manual de terreno com soquete</t>
  </si>
  <si>
    <t>Carga manual de material a granel (2 serventes) em caminhao basculante  c/cacamba de 4,0m3 incluindo descarga mecânica</t>
  </si>
  <si>
    <t>73965/010</t>
  </si>
  <si>
    <t>73964/004</t>
  </si>
  <si>
    <t>74255/003</t>
  </si>
  <si>
    <t>3,00</t>
  </si>
  <si>
    <t>8,00</t>
  </si>
  <si>
    <t>1,00</t>
  </si>
  <si>
    <t>373,89</t>
  </si>
  <si>
    <t>86,64</t>
  </si>
  <si>
    <t>106,50</t>
  </si>
  <si>
    <t>80,41</t>
  </si>
  <si>
    <t>112,37</t>
  </si>
  <si>
    <t>Lastro de brita</t>
  </si>
  <si>
    <t>Forma tabua para concreto em fundacao c/ reaproveitamento 5x</t>
  </si>
  <si>
    <t>Armacao aco ca-50 p/ estruturas de concreto</t>
  </si>
  <si>
    <t>Impermeabilizacao de superficie com armagassa de cimento e areia (grossa),traco 1:3, com aditivo impermeabilizante, e=2,5cm.</t>
  </si>
  <si>
    <t>Impermeabilizacao de estruturas enterradas, com tinta asfaltica, duas demaos</t>
  </si>
  <si>
    <t>74164/004</t>
  </si>
  <si>
    <t>74138/002</t>
  </si>
  <si>
    <t>74000/001</t>
  </si>
  <si>
    <t>74106/001</t>
  </si>
  <si>
    <t>5,66</t>
  </si>
  <si>
    <t>416,44</t>
  </si>
  <si>
    <t>2.020,11</t>
  </si>
  <si>
    <t>31,00</t>
  </si>
  <si>
    <t>9,96</t>
  </si>
  <si>
    <t>174,22</t>
  </si>
  <si>
    <t>Forma para estruturas de concreto (pilar, viga e laje) em chapa de madeira compensada plastificada, de 1,10 x 2,20, espessura = 12 mm, 02 utilizacoes. (fabricacao, montagem e desmontagem - exclusive escoramento)</t>
  </si>
  <si>
    <t>laje pre-mold beta 12 p/3,5kn/m2 vao 4,1m incl vigotas tijolos armaduranegativa capeamento 3cm concreto 15mpa escoramento materiais e mao de obra</t>
  </si>
  <si>
    <t>84217</t>
  </si>
  <si>
    <t>74141/002</t>
  </si>
  <si>
    <t>118,85</t>
  </si>
  <si>
    <t>2.650,00</t>
  </si>
  <si>
    <t>12,05</t>
  </si>
  <si>
    <t>280,20</t>
  </si>
  <si>
    <t>PAREDES E PAINÉIS</t>
  </si>
  <si>
    <t>5,36</t>
  </si>
  <si>
    <t>52,62</t>
  </si>
  <si>
    <t>10,80</t>
  </si>
  <si>
    <t>37,44</t>
  </si>
  <si>
    <t>0,36</t>
  </si>
  <si>
    <t>8.1</t>
  </si>
  <si>
    <t>Rede de esgoto sanitário</t>
  </si>
  <si>
    <t>8.2</t>
  </si>
  <si>
    <t>74184/001</t>
  </si>
  <si>
    <t>74183/001</t>
  </si>
  <si>
    <t>2,00</t>
  </si>
  <si>
    <t>14,00</t>
  </si>
  <si>
    <t>M</t>
  </si>
  <si>
    <t>54,00</t>
  </si>
  <si>
    <t>65,00</t>
  </si>
  <si>
    <t>90,00</t>
  </si>
  <si>
    <t>17,00</t>
  </si>
  <si>
    <t>150,00</t>
  </si>
  <si>
    <t>6,00</t>
  </si>
  <si>
    <t>24,00</t>
  </si>
  <si>
    <t>48,00</t>
  </si>
  <si>
    <t>12,00</t>
  </si>
  <si>
    <t>42,00</t>
  </si>
  <si>
    <t>126,00</t>
  </si>
  <si>
    <t>18,00</t>
  </si>
  <si>
    <t>24,50</t>
  </si>
  <si>
    <t>2,16</t>
  </si>
  <si>
    <t>Rede de águas pluviais + drenos de ar condicionado</t>
  </si>
  <si>
    <t>8.3</t>
  </si>
  <si>
    <t>Louças e metais</t>
  </si>
  <si>
    <t>8.4</t>
  </si>
  <si>
    <t>8.5</t>
  </si>
  <si>
    <t>Instalações de combate a incêndio</t>
  </si>
  <si>
    <t>Extintor de co2 6kg - fornecimento e instalacao</t>
  </si>
  <si>
    <t>Extintor incendio tp po quimico 4kg fornecimento e colocacao</t>
  </si>
  <si>
    <t>Extintor incendio agua-pressurizada 10l incl suporte parede carga
completa fornecimento e colocacao</t>
  </si>
  <si>
    <t>Dispenser papel higienico em abs para rolão 300/600m, com visor</t>
  </si>
  <si>
    <t>Saboneteira tipo dispenser, para refil de 800 ml</t>
  </si>
  <si>
    <t>Dispenser toalheiro em abs, para folhas</t>
  </si>
  <si>
    <t>Torneira cromada 1/2" ou 3/4" para jardim ou tanque, padrao alto -
fornecimento e instalacao</t>
  </si>
  <si>
    <t>Granito cinza polido para bancada e=2,5 cm, largura 60cm - fornecimento einstalacao</t>
  </si>
  <si>
    <t>Torneira cromada tubo movel de parede 1/2" ou 3/4" para pia de cozinha,padrao medio - fornecimento e instalacao</t>
  </si>
  <si>
    <t>Cuba aco inoxidavel 40,0x34,0x11,5 cm, com sifao em metal cromado 1.1/2x1.1/2",valvula em metal cromado tipo americana 3.1/2"x1.1/2" para pia - fornecimento e instalacao</t>
  </si>
  <si>
    <t>Barra de apoio reta, para pessoas com mobilidade reduzida, em tubo de aço inoxidável de 1 1/2´ x 900 mm</t>
  </si>
  <si>
    <t>Barra de apoio reta, para pessoas com mobilidade reduzida, em tubo de açoinoxidável de 1 1/2´ x 800 mm</t>
  </si>
  <si>
    <t>Chuveiro eletrico comum corpo plastico tipo ducha, fornecimento e
instalacao</t>
  </si>
  <si>
    <t>Banheira de imersão em acrílico 1,54m x 1,54m x 58cm</t>
  </si>
  <si>
    <t>Caixa de ligacao ou inspecao - tampa de concreto armado</t>
  </si>
  <si>
    <t>Caixa sifonada pvc 150x150x50mm com grelha redonda branca - fornecimentoe instalaçao</t>
  </si>
  <si>
    <t>Tubo de pvc "r" 40mm incl conexoes - col esgoto</t>
  </si>
  <si>
    <t>Tubo de pvc "r" 50mm incl conexoes - col esgoto</t>
  </si>
  <si>
    <t>Tubo de pvc "r" 75mm incl conexoes - col esgoto</t>
  </si>
  <si>
    <t>Tubo de pvc "r" 100mm incl conexoes - col esgoto</t>
  </si>
  <si>
    <t>Válvula de retenção vertical ø 100mm (4") - fornecimento e instalação</t>
  </si>
  <si>
    <t>Registro gaveta 1" bruto latao - fornecimento e instalacao</t>
  </si>
  <si>
    <t>Registro pressao 3/4" com canopla acabamento cromado - fornecimento einstalaço</t>
  </si>
  <si>
    <t>Registro gaveta 3/4" bruto latao - fornecimento e instalacao</t>
  </si>
  <si>
    <t>Registro gaveta 1.1/4" bruto latao - fornecimento e instalacao</t>
  </si>
  <si>
    <t>Tubo de pvc rigido junta soldavel dn 25mm (3/4") incl conexoes</t>
  </si>
  <si>
    <t>Tubo de pvc rigido junta soldavel dn 32mm (1") incl conexoes</t>
  </si>
  <si>
    <t>Tubo de pvc rigido junta soldavel dn 40mm (1.1/4") incl conexoes</t>
  </si>
  <si>
    <t>Tubo de pvc "r" para aguas pluviais 50mm - incl. Conexoes</t>
  </si>
  <si>
    <t>Tubo de pvc "r" para aguas pluviais 75mm - incl. Conexoes</t>
  </si>
  <si>
    <t>Tubo de pvc "r" para aguas pluviais 100mm - incl. Conexoes</t>
  </si>
  <si>
    <t>Tubo de pvc "r" para aguas pluviais 150mm - incl conexoes</t>
  </si>
  <si>
    <t>Ca-21 canaleta de aguas pluviais em concreto (20cm)</t>
  </si>
  <si>
    <t>Caixa de ligacao ou inspecao - alvenaria de 1 tijolo revestida</t>
  </si>
  <si>
    <t>Vaso sanitario com caixa de descarga acoplada - louca branca</t>
  </si>
  <si>
    <t>Lavatorio louca branca suspenso 29,5 x 39,0cm, padrao popular, com sifaoplastico tipo copo 1", valvula em plastico branco 1" e conjunto para fixacao- fornecimento e instalacao</t>
  </si>
  <si>
    <t>7,00</t>
  </si>
  <si>
    <t>5,00</t>
  </si>
  <si>
    <t>15,00</t>
  </si>
  <si>
    <t>4,00</t>
  </si>
  <si>
    <t>Caixa metalica octogonal 4x4" fundo movel</t>
  </si>
  <si>
    <t>Caixa de passagem 60x60x70 fundo brita com tampa</t>
  </si>
  <si>
    <t>Supressor de surto monofásico, neutro-terra, in &gt; ou = 20 ka, imax. de surtode 65 até 80 ka</t>
  </si>
  <si>
    <t>Quadro telebrás de embutir de 600 x 600 x 120 mm</t>
  </si>
  <si>
    <t>Caixa de ferro estâmpada 4´ x 2´</t>
  </si>
  <si>
    <t>Caixa de ferro estâmpada 4´ x 4´</t>
  </si>
  <si>
    <t>Cabo de cobre de 1,5 mm², isolamento 750 v - isolação em pvc 70°c</t>
  </si>
  <si>
    <t>Cabo de cobre de 70,0 mm², isolamento 750 v - isolação em pvc 70°c</t>
  </si>
  <si>
    <t>Conector split-bolt para cabo de 50,0 mm², latão, simples</t>
  </si>
  <si>
    <t>Cabo de cobre de 25,0 mm², isolamento 0,6/1 kv - isolação epr 90°C</t>
  </si>
  <si>
    <t>Cabo de cobre de 2,5 mm², isolamento 750 v - isolação em pvc 70°C</t>
  </si>
  <si>
    <t>Cabo de cobre de 4,0 mm², isolamento 750 v - isolação em pvc 70°C</t>
  </si>
  <si>
    <t>Cabo de cobre de 6,0 mm², isolamento 750 v - isolação em pvc 70°C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</si>
  <si>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</si>
  <si>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</si>
  <si>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</si>
  <si>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Disjuntor série universal, em caixa moldada, térmico e magnético fixos, bipolar 480/600 V, corrente de 125 A</t>
  </si>
  <si>
    <t>Disjuntor série universal, em caixa moldada, térmico e magnético fixos, tripolar 600 v, corrente de 150 A até 225 A</t>
  </si>
  <si>
    <t>Eletroduto corrugado de polietileno de alta densidade, dn= 30 mm, com acessórios</t>
  </si>
  <si>
    <t>Eletroduto de pvc rígido roscável de 3/4´ - com acessórios</t>
  </si>
  <si>
    <t>Eletroduto de pvc rígido roscável de 3´ - com acessórios</t>
  </si>
  <si>
    <t>Placa de 4´ x 2´</t>
  </si>
  <si>
    <t>Placa de 4´ x 4´</t>
  </si>
  <si>
    <t>Lâmpada de vapor metálico elipsoidal, base e40 de 250 w</t>
  </si>
  <si>
    <t>Dispositivo diferencial residual de 25 a x 30 ma - 2 pólos</t>
  </si>
  <si>
    <t>371366</t>
  </si>
  <si>
    <t>60,00</t>
  </si>
  <si>
    <t>200,00</t>
  </si>
  <si>
    <t>700,00</t>
  </si>
  <si>
    <t>1.900,00</t>
  </si>
  <si>
    <t>600,00</t>
  </si>
  <si>
    <t>500,00</t>
  </si>
  <si>
    <t>25,00</t>
  </si>
  <si>
    <t>22,00</t>
  </si>
  <si>
    <t>80,00</t>
  </si>
  <si>
    <t>750,00</t>
  </si>
  <si>
    <t>140,00</t>
  </si>
  <si>
    <t>13,00</t>
  </si>
  <si>
    <t>Dispositivo diferencial residual de 100 a x 30 ma - 4 pólos</t>
  </si>
  <si>
    <t>Interruptor com 1 tecla paralelo e placa</t>
  </si>
  <si>
    <t>Interruptor com 1 tecla simples e placa</t>
  </si>
  <si>
    <t>Luminária triangular de sobrepor tipo arandela, para lâmpada incandescente até 100 w, ou fluorescente compacta eletrônica até 23 w</t>
  </si>
  <si>
    <t>Terminal de pressão/compressão para cabo de 25,0 mm²</t>
  </si>
  <si>
    <t>Terminal de pressão/compressão para cabo de 70 mm²</t>
  </si>
  <si>
    <t>Tomada 2p+t, 10a 250v, completa</t>
  </si>
  <si>
    <t>Tomada rj 11 para telefone, sem placa</t>
  </si>
  <si>
    <t>Tomada rj 45 para rede de dados, com placa</t>
  </si>
  <si>
    <t>Quadro de distribuicao de energia de embutir, em chapa metalica, para 40 disjuntores termomagneticos monopolares, com barramento trifasico e neutro, fornecimento e instalacao</t>
  </si>
  <si>
    <t>S.P.A. Atmosfericas</t>
  </si>
  <si>
    <t>Cabo de cobre nu 16 mm2</t>
  </si>
  <si>
    <t>Cabo de cobre nu 50 mm2</t>
  </si>
  <si>
    <t>Haste de aterramento de 5/8´ x 2,40 m</t>
  </si>
  <si>
    <t>Poste telecônico reto em aço sae 1010/1020 galvanizado a fogo, altura de 15,00 m</t>
  </si>
  <si>
    <t>Conector em latão estanhado para cabos de 16 a 50 mm² e vergalhões até 3/8´</t>
  </si>
  <si>
    <t>Tampa para caixa de inspeção cilíndrica, aço galvanizado</t>
  </si>
  <si>
    <t>Caixa de inspeção do terra cilíndrica em pvc rígido, diâmetro de 300 mm - h= 400 mm</t>
  </si>
  <si>
    <t>411467</t>
  </si>
  <si>
    <t>74131/007</t>
  </si>
  <si>
    <t>411032</t>
  </si>
  <si>
    <t>420532</t>
  </si>
  <si>
    <t>37,00</t>
  </si>
  <si>
    <t>10,00</t>
  </si>
  <si>
    <t>94,00</t>
  </si>
  <si>
    <t>30,00</t>
  </si>
  <si>
    <t>50,00</t>
  </si>
  <si>
    <t>cj</t>
  </si>
  <si>
    <t>Chapisco traco 1:3 (cimento e areia media), espessura 0,5cm, preparo manual da argamassa</t>
  </si>
  <si>
    <t>Chapisco traco 1:3 (cimento e areia media), espessura 0,5cm, preparo manualda argamassa</t>
  </si>
  <si>
    <t>Cantoneira de aluminio 1x1" , para protecao de quina de parede</t>
  </si>
  <si>
    <t>73928/002</t>
  </si>
  <si>
    <t>268,83</t>
  </si>
  <si>
    <t>73908/002</t>
  </si>
  <si>
    <t>854,85</t>
  </si>
  <si>
    <t>281,07</t>
  </si>
  <si>
    <t>573,78</t>
  </si>
  <si>
    <t>286,69</t>
  </si>
  <si>
    <t>Contrapiso em argamassa traco 1:4 (cimento e areia), espessura 7cm, preparo manual</t>
  </si>
  <si>
    <t>Regularizacao de piso/base em argamassa traco 1:3 (cimento e areia), espessura 2,0cm, preparo manual</t>
  </si>
  <si>
    <t>12.1</t>
  </si>
  <si>
    <t>porta de madeira compensada lisa para pintura, 60x210x3,5cm, incluso aduela 2a, alizar 2a e dobradicas</t>
  </si>
  <si>
    <t>porta de madeira compensada lisa para pintura, 70 x 210 x 3,5cm, incluso aduela 2a, alizar 2a e dobradiça</t>
  </si>
  <si>
    <t>porta de madeira compensada lisa para pintura, 80 x 210 x 3,5cm, incluso aduela 2a, alizar 2a e dobradiça</t>
  </si>
  <si>
    <t>barra de apoio reta, para pessoas com mobilidade reduzida, em tubo de aço inoxidável de 1 1/2´ x 500 mm</t>
  </si>
  <si>
    <t>12.2</t>
  </si>
  <si>
    <t>12.3</t>
  </si>
  <si>
    <t>12.4</t>
  </si>
  <si>
    <t>12.5</t>
  </si>
  <si>
    <t>12.6</t>
  </si>
  <si>
    <t>73910/001</t>
  </si>
  <si>
    <t>73910/003</t>
  </si>
  <si>
    <t>73910/005</t>
  </si>
  <si>
    <t>15,33</t>
  </si>
  <si>
    <t>Alvenaria de tijolo ceramico furado (baiano) esp.nom 15 cm</t>
  </si>
  <si>
    <t>Laje maciça</t>
  </si>
  <si>
    <t>Armacao em tela soldada q-138 (aco ca-60 4,2mm c/10cm)</t>
  </si>
  <si>
    <t>Concreto usinado bombeado fck=20mpa, inclusive lancamento e adensamento</t>
  </si>
  <si>
    <t>Portao de ferro com vara 1/2", com requadro</t>
  </si>
  <si>
    <t>Pntura esmalte 2 demaos c/1 demao zarcao p/esquadria ferro</t>
  </si>
  <si>
    <t>73994/001</t>
  </si>
  <si>
    <t>74100/001</t>
  </si>
  <si>
    <t>12,84</t>
  </si>
  <si>
    <t>19,30</t>
  </si>
  <si>
    <t>5,06</t>
  </si>
  <si>
    <t>14,24</t>
  </si>
  <si>
    <t>5,70</t>
  </si>
  <si>
    <t>0,72</t>
  </si>
  <si>
    <t>0,33</t>
  </si>
  <si>
    <t>7,08</t>
  </si>
  <si>
    <t>15,58</t>
  </si>
  <si>
    <t>LIXO COMUM / LIXO HOSPITALAR / CENTRAL DE GASES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</si>
  <si>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</si>
  <si>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</si>
  <si>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</si>
  <si>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Válvula esfera em aço carbono fundido, passagem plena, classe 150 libras para vapor e classe 600 libras para água, óleo e gás, dn= 1/2´</t>
  </si>
  <si>
    <t>Válvula esfera em aço carbono fundido, passagem plena, classe 150 libras para vapor e classe 600 libras para água, óleo e gás, dn= 3/4´</t>
  </si>
  <si>
    <t>Válvula esfera em aço carbono fundido, passagem plena, classe 150 libras para vapor e classe 600 libras para água, óleo e gás, dn= 1´</t>
  </si>
  <si>
    <t>Caixa de setorização</t>
  </si>
  <si>
    <t>Válvula de seccionamento e alarme - 1"</t>
  </si>
  <si>
    <t>Gm- oxigênio (o2)- tubos cobre, conexões e  fixações</t>
  </si>
  <si>
    <t>Gm- geral (acess)- registros, válvulas e acessórios</t>
  </si>
  <si>
    <t>Gm- painéis de monitoramento de rede</t>
  </si>
  <si>
    <t>95,00</t>
  </si>
  <si>
    <t>125,00</t>
  </si>
  <si>
    <t>9.3</t>
  </si>
  <si>
    <t>Instalação montagem</t>
  </si>
  <si>
    <t>Itens e testes especiais</t>
  </si>
  <si>
    <t>9.4</t>
  </si>
  <si>
    <t>Painel de alarme</t>
  </si>
  <si>
    <t>Painel de oxigenio</t>
  </si>
  <si>
    <t>Redes geral</t>
  </si>
  <si>
    <t>Limpeza quimica de tubulações</t>
  </si>
  <si>
    <t>Testes especiais com nitrogenio</t>
  </si>
  <si>
    <t>Terminais de redes para paineis de cabeceira</t>
  </si>
  <si>
    <t>Locacao convencional de obra, através de gabarito de tabuas corridaspontaletadas, sem reaproveitamento</t>
  </si>
  <si>
    <t>74077/001</t>
  </si>
  <si>
    <t>74254/002</t>
  </si>
  <si>
    <t>Fechamento de alvenaria dos solariuns</t>
  </si>
  <si>
    <t>5.4</t>
  </si>
  <si>
    <t>73795/007</t>
  </si>
  <si>
    <t>Caixa d´água em polietileno, 1000 litros, com acessórios</t>
  </si>
  <si>
    <t>C0073</t>
  </si>
  <si>
    <t xml:space="preserve">alvenaria de tijolo cerâmico furado (9x19x19)cm c/argamassa mista de cal hidratada esp.=9cm (1:2:8), junta 1cm </t>
  </si>
  <si>
    <t>C2086</t>
  </si>
  <si>
    <t>C4562</t>
  </si>
  <si>
    <t>C0621</t>
  </si>
  <si>
    <t xml:space="preserve">73860/007 </t>
  </si>
  <si>
    <t>73860/008</t>
  </si>
  <si>
    <t>73860/009</t>
  </si>
  <si>
    <t>73860/010</t>
  </si>
  <si>
    <t>73860/015</t>
  </si>
  <si>
    <t>C0858</t>
  </si>
  <si>
    <t>74130/001</t>
  </si>
  <si>
    <t>74130/003</t>
  </si>
  <si>
    <t>74130/005</t>
  </si>
  <si>
    <t>74130/007</t>
  </si>
  <si>
    <t>04434</t>
  </si>
  <si>
    <t>Dispositivo diferencial residual de 40 a x 30 ma - 2 pólos</t>
  </si>
  <si>
    <t>Dispositivo diferencial residual de 63 a x 30 ma - 4 pólos</t>
  </si>
  <si>
    <t>07996</t>
  </si>
  <si>
    <t>08077</t>
  </si>
  <si>
    <t>07997</t>
  </si>
  <si>
    <t>00470</t>
  </si>
  <si>
    <t>00476</t>
  </si>
  <si>
    <t>07592</t>
  </si>
  <si>
    <t>Luminária de sobrepor ou pendentee com aletas parabólicas  em calha, para lâmpada fluorescente, 2 x 32w (completa)</t>
  </si>
  <si>
    <t>73782/005</t>
  </si>
  <si>
    <t>73782/002</t>
  </si>
  <si>
    <t>00794</t>
  </si>
  <si>
    <t>C3910</t>
  </si>
  <si>
    <t>08798</t>
  </si>
  <si>
    <t>74166/001</t>
  </si>
  <si>
    <t>Assento articulado para banho, em alumínio com pintura epóxi de 700 x 450 mm</t>
  </si>
  <si>
    <t>Platibanda</t>
  </si>
  <si>
    <t>5.5</t>
  </si>
  <si>
    <t>Laje cobertura/Caixa d'água</t>
  </si>
  <si>
    <t>Laje CPN</t>
  </si>
  <si>
    <t>Parede/Marquise</t>
  </si>
  <si>
    <t>Alvenaria do Projeto do Ministério</t>
  </si>
  <si>
    <t>Alvenaria que será retirada</t>
  </si>
  <si>
    <t>Pilaretes para a platibanda</t>
  </si>
  <si>
    <t>Área da Cobertura</t>
  </si>
  <si>
    <t>Chapisco/Ministério</t>
  </si>
  <si>
    <t>Chapisco/Retirado</t>
  </si>
  <si>
    <t>Revestimento porcelanato retificado, aplicado com argamassa industrializada, rejuntado c/epoxi, junta máxima de 2mm</t>
  </si>
  <si>
    <t>Rodapes de porcelanato retificado 10 cm</t>
  </si>
  <si>
    <t>Porta PA1</t>
  </si>
  <si>
    <t>Porta PA2</t>
  </si>
  <si>
    <t>Porta PA3</t>
  </si>
  <si>
    <t>Porta PA5</t>
  </si>
  <si>
    <t>Porta PA4</t>
  </si>
  <si>
    <t>Porta lisa de correr, em madeira</t>
  </si>
  <si>
    <t>Vidro temperado incolor, espessura 6mm, fornecimento e instalacao</t>
  </si>
  <si>
    <t>Vidro temperado incolor, espessura 10mm, fornecimento e instalacao</t>
  </si>
  <si>
    <t>Fundo selador acrílico, uma demão</t>
  </si>
  <si>
    <t>Aplicação e lixamento de massa látex em paredes, duas demãos</t>
  </si>
  <si>
    <t>Aplicação manual de pintura com tinta acrílica acetinada em paredes, duas demãos</t>
  </si>
  <si>
    <t>Aplicação de fundo selador látex PVA em teto, uma demão</t>
  </si>
  <si>
    <t>Aplicação e lixamento de massa látex em teto, duas demãos</t>
  </si>
  <si>
    <t>Aplicação manual de pintura com tinta látex PVA em teto, duas demãos</t>
  </si>
  <si>
    <t>Aplicação manual de pintura com tinta texturizada acrílica em paredes</t>
  </si>
  <si>
    <t>Recep/Acolhimento</t>
  </si>
  <si>
    <t>Banheiro 1</t>
  </si>
  <si>
    <t>Banheiro 2</t>
  </si>
  <si>
    <t>Quarto PPP1</t>
  </si>
  <si>
    <t>Banheiro 5</t>
  </si>
  <si>
    <t>Quarto PPP 5</t>
  </si>
  <si>
    <t>Quarto PPP 4</t>
  </si>
  <si>
    <t>Banheiro 3</t>
  </si>
  <si>
    <t>Banheiro 4</t>
  </si>
  <si>
    <t>Quarto PPP 3</t>
  </si>
  <si>
    <t>Dep de Equip/Mat</t>
  </si>
  <si>
    <t>Banheiro Funcionário</t>
  </si>
  <si>
    <t>Refeitório/Deambulação/Circulação</t>
  </si>
  <si>
    <t>Quarto PPP 2</t>
  </si>
  <si>
    <t>Refeitório/caixa d'água</t>
  </si>
  <si>
    <t>Solarium 6</t>
  </si>
  <si>
    <t>Solarium 2</t>
  </si>
  <si>
    <t>Solarium 1</t>
  </si>
  <si>
    <t>Solarium 5</t>
  </si>
  <si>
    <t>Solarium 4</t>
  </si>
  <si>
    <t>Solarium 3</t>
  </si>
  <si>
    <t>Paredes externas Solariums</t>
  </si>
  <si>
    <t>Serviços Enfermagem/Posto Enf.</t>
  </si>
  <si>
    <t>MARQUISE</t>
  </si>
  <si>
    <t>Forro de PVC para a marquise</t>
  </si>
  <si>
    <t xml:space="preserve">C4468 </t>
  </si>
  <si>
    <t>Telhamento com telha de alumínio dupla, trapezoidal, tipo sanduíche 0,6mm pré pintada em duas faces, com isolamento de espuma rígida de poliuretano 30mm pintada</t>
  </si>
  <si>
    <t>Estrutura metálica</t>
  </si>
  <si>
    <t>C1353</t>
  </si>
  <si>
    <t>Revestimento metálico, tipo "reynobond" duas chapas</t>
  </si>
  <si>
    <t>C2222</t>
  </si>
  <si>
    <t>Calha em chapa de aço galvanizado numero 24, desenvolvimento de 33cm</t>
  </si>
  <si>
    <t>16.00</t>
  </si>
  <si>
    <t>Tubo de pvc "r" 75mm incl conexoes</t>
  </si>
  <si>
    <t>Forro de Gesso</t>
  </si>
  <si>
    <t>73986/001</t>
  </si>
  <si>
    <t>Reboco traco 1:2:8 (cimento, cal e areia media), espessura 2,0cm, preparo manual da argamassa</t>
  </si>
  <si>
    <t>Emboco traco 1:2:8 (cimento, cal e areia media), espessura 1,5cm, preparo mecânico</t>
  </si>
  <si>
    <t>Reboco traco 1:2:8 (cimento, cal e areia media), espessura 2,0cm, preparo mecânico</t>
  </si>
  <si>
    <t>87792</t>
  </si>
  <si>
    <t>Revestimento com cerâmica PEI 4, tipo A na cor branca com massa epóxi com espessura máxima de 2mm</t>
  </si>
  <si>
    <t>C3034</t>
  </si>
  <si>
    <t>C3670</t>
  </si>
  <si>
    <t>C4069</t>
  </si>
  <si>
    <t>C2506</t>
  </si>
  <si>
    <t>461002</t>
  </si>
  <si>
    <t>461003</t>
  </si>
  <si>
    <t>C2181</t>
  </si>
  <si>
    <t>07767</t>
  </si>
  <si>
    <t>07768</t>
  </si>
  <si>
    <t>Fevereiro de 2015/Com Desoneração</t>
  </si>
  <si>
    <t>Data Base: Fevereiro de 2015/Com Desoneração</t>
  </si>
  <si>
    <t>Data Base: Fevereiro 2015/Com Desoneração</t>
  </si>
  <si>
    <t>Data Base: Setembro de 2015/Com Desoneração</t>
  </si>
  <si>
    <t>Cintas e pilaretes de concreto armado</t>
  </si>
  <si>
    <t>Argento Line, natural retificado, similar linha concretyssimo</t>
  </si>
  <si>
    <t>Cerâmica tipo madeira, canela de demolição 20x120cm, natural retificado, similar a portobello</t>
  </si>
  <si>
    <t>Fachada Pricipal/Refeitório</t>
  </si>
  <si>
    <t>Fachada Pricipal/Varanda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</si>
  <si>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</si>
  <si>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</si>
  <si>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</si>
  <si>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</si>
  <si>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</si>
  <si>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</si>
  <si>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</si>
  <si>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</si>
  <si>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</si>
  <si>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2.6</t>
  </si>
  <si>
    <t>3.1</t>
  </si>
  <si>
    <t>4.1</t>
  </si>
  <si>
    <t>4.2</t>
  </si>
  <si>
    <t>4.3</t>
  </si>
  <si>
    <t>4.4</t>
  </si>
  <si>
    <t>5.1</t>
  </si>
  <si>
    <t>5.2</t>
  </si>
  <si>
    <t>5.3</t>
  </si>
  <si>
    <t>ESQUADRIAS METÁLICAS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</si>
  <si>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</si>
  <si>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</si>
  <si>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</si>
  <si>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</si>
  <si>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</si>
  <si>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</si>
  <si>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</si>
  <si>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</si>
  <si>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</si>
  <si>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</si>
  <si>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</si>
  <si>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</si>
  <si>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Rede de água fria</t>
  </si>
  <si>
    <t>9.6</t>
  </si>
  <si>
    <t>BANHEIRA DE IMERSÃO EM FIBRA DE VIDRO 1,54M X 1,54M X 58CM</t>
  </si>
  <si>
    <t>PEDREIRO COM ENCARGOS COMPLEMENTARES</t>
  </si>
  <si>
    <t>ENCANADOR COM ENCARGOS COMPLEMENTARES</t>
  </si>
  <si>
    <t>AJUDANTE DE ENCANADOR COM ENCARGOS COMPLEMENTARES</t>
  </si>
  <si>
    <t>88309/SINAPI</t>
  </si>
  <si>
    <t>88267/SINAPI</t>
  </si>
  <si>
    <t>88248/SINAPI</t>
  </si>
  <si>
    <t>BANHEIRA DE FIBRA DE VIDRO</t>
  </si>
  <si>
    <t>I093460/CPOS</t>
  </si>
  <si>
    <t>VÁLVULA DE ESCOAMENTO CROMADA DE 1 1/2', REF. 1606C DA DECA OU EQUIVALENTE</t>
  </si>
  <si>
    <t>FITA TEFLON DE 18 MM</t>
  </si>
  <si>
    <t>I064004/CPOS</t>
  </si>
  <si>
    <t>I069552/CPOS</t>
  </si>
  <si>
    <t>Unid: UM</t>
  </si>
  <si>
    <t>REVESTIMENTO DE FORROS</t>
  </si>
  <si>
    <t>10.00</t>
  </si>
  <si>
    <t>REVESTIMENTO DE PAREDES INTERNAS</t>
  </si>
  <si>
    <t>REVESTIMENTO DE PAREDES EXTERNAS</t>
  </si>
  <si>
    <t>11.00</t>
  </si>
  <si>
    <t>11.1</t>
  </si>
  <si>
    <t>11.2</t>
  </si>
  <si>
    <t>11.3</t>
  </si>
  <si>
    <t>12.00</t>
  </si>
  <si>
    <t>13.1</t>
  </si>
  <si>
    <t>13.2</t>
  </si>
  <si>
    <t>13.3</t>
  </si>
  <si>
    <t>13.4</t>
  </si>
  <si>
    <t>13.5</t>
  </si>
  <si>
    <t>13.6</t>
  </si>
  <si>
    <t>13.7</t>
  </si>
  <si>
    <t>13.8</t>
  </si>
  <si>
    <t>14.1</t>
  </si>
  <si>
    <t>14.2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</si>
  <si>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</si>
  <si>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</si>
  <si>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</si>
  <si>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</si>
  <si>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</si>
  <si>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</si>
  <si>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</si>
  <si>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</si>
  <si>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</si>
  <si>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</si>
  <si>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17.00</t>
  </si>
  <si>
    <t>17.1</t>
  </si>
  <si>
    <t>17.2</t>
  </si>
  <si>
    <t>17.3</t>
  </si>
  <si>
    <t>17.4</t>
  </si>
  <si>
    <t>17.5</t>
  </si>
  <si>
    <t>18.00</t>
  </si>
  <si>
    <t>18.1</t>
  </si>
  <si>
    <t>18.2</t>
  </si>
  <si>
    <t>18.3</t>
  </si>
  <si>
    <t>18.4</t>
  </si>
  <si>
    <t>18.5</t>
  </si>
  <si>
    <t>19.1</t>
  </si>
  <si>
    <t>19.2</t>
  </si>
  <si>
    <t>Solarium</t>
  </si>
  <si>
    <t>VIDROS</t>
  </si>
  <si>
    <t>19.00</t>
  </si>
  <si>
    <t>Fachada/Refeitório</t>
  </si>
  <si>
    <t>Reoco/Ministério</t>
  </si>
  <si>
    <t>Reboco/Retirado</t>
  </si>
  <si>
    <t xml:space="preserve">Banheira de imersão em acrílico </t>
  </si>
  <si>
    <t>Caixa da Banheira</t>
  </si>
  <si>
    <t>Calha de Alvenaria impermeabilizada</t>
  </si>
  <si>
    <t>Calha</t>
  </si>
  <si>
    <t>TUBO DE PVC "R" 40MM INCL CONEXOES - COL ESGOTO</t>
  </si>
  <si>
    <t>Unid: M</t>
  </si>
  <si>
    <t>TUBO DE PVC "R" 40MMM</t>
  </si>
  <si>
    <t>ADESIVO PARA TUBOS PVC</t>
  </si>
  <si>
    <t>SOLUCAO LIMPADORA P/ PVC</t>
  </si>
  <si>
    <t>I020067/SINAPI</t>
  </si>
  <si>
    <t>I20083/INSUMO</t>
  </si>
  <si>
    <t>I20068/SINAPI</t>
  </si>
  <si>
    <t>I00122/SINAPI</t>
  </si>
  <si>
    <t>TUBO DE PVC "R" 50MMM</t>
  </si>
  <si>
    <t>TUBO DE PVC "R" 75MMM</t>
  </si>
  <si>
    <t>I9839/SINAPI</t>
  </si>
  <si>
    <t>TUBO DE PVC "R" 100MMM</t>
  </si>
  <si>
    <t>I20072/SINAPI</t>
  </si>
  <si>
    <t>C2625</t>
  </si>
  <si>
    <t>C2626</t>
  </si>
  <si>
    <t>C2627</t>
  </si>
  <si>
    <t>TUBO DE PVC "R" 50MM INCL CONEXOES - COL ESGOTO/ÁGUA PLUVIAL</t>
  </si>
  <si>
    <t>TUBO DE PVC "R" 75MM INCL CONEXOES - COL ESGOTO/ÁGUA PLUVIAL</t>
  </si>
  <si>
    <t>TUBO DE PVC "R" 100MM INCL CONEXOES - COL ESGOTO/ÁGUA PLUVIAL</t>
  </si>
  <si>
    <t>TUBO DE PVC "R" PARA AGUAS PLUVIAIS 150MM - INCL. CONEXOES</t>
  </si>
  <si>
    <t>I20073/SINAPI</t>
  </si>
  <si>
    <t>CA-21 CANALETA DE AGUAS PLUVIAIS EM CONCRETO (20CM)</t>
  </si>
  <si>
    <t>TUBO DE PVC "R" 150MMM</t>
  </si>
  <si>
    <t>CARPINTEIRO COM ENCARGOS COMPLEMENTARES</t>
  </si>
  <si>
    <t>AJUDANTE DE CARPINTEIRO COM ENCARGOS COMPLEMENTARES</t>
  </si>
  <si>
    <t>CONCRETO DOSADO (CONDICAO-A) FCK 15 M PA</t>
  </si>
  <si>
    <t>SARRAFO BRUTO 5X2,5CM G1-C2</t>
  </si>
  <si>
    <t>PAINEL DE MADEIRA COMPENSADA RESINADA E=12MM G1-C8</t>
  </si>
  <si>
    <t>PREGO</t>
  </si>
  <si>
    <t>M²</t>
  </si>
  <si>
    <t>M³</t>
  </si>
  <si>
    <t>88262/SINAPI</t>
  </si>
  <si>
    <t>88239/SINAPI</t>
  </si>
  <si>
    <t>I04502/SINAPI</t>
  </si>
  <si>
    <t>I01350/SINAPI</t>
  </si>
  <si>
    <t>I05063/INSUMO</t>
  </si>
  <si>
    <t>I20530/FDE</t>
  </si>
  <si>
    <t>AREIA</t>
  </si>
  <si>
    <t>CAL HIDRATADA</t>
  </si>
  <si>
    <t xml:space="preserve">CIMENTO </t>
  </si>
  <si>
    <t>TIJOLO COMUM MACIÇO</t>
  </si>
  <si>
    <t xml:space="preserve">I00370/SINAPI </t>
  </si>
  <si>
    <t>I01106/SINAPI</t>
  </si>
  <si>
    <t>I01379/SINAPI</t>
  </si>
  <si>
    <t>I07258/INSUMO</t>
  </si>
  <si>
    <t>Abril de 2014</t>
  </si>
  <si>
    <t>6.00</t>
  </si>
  <si>
    <t>7.00</t>
  </si>
  <si>
    <t>8.00</t>
  </si>
  <si>
    <t>150 DIAS</t>
  </si>
  <si>
    <t>Varanda</t>
  </si>
  <si>
    <t>Muro Solarium</t>
  </si>
  <si>
    <t>5.6</t>
  </si>
  <si>
    <t>5.6.1</t>
  </si>
  <si>
    <t>5.6.2</t>
  </si>
  <si>
    <t>Laje sobre a caixa d'água (refeitório)</t>
  </si>
  <si>
    <t>TIJOLO CERAMICO FURADO BAIANAO 11,5X14X25CM</t>
  </si>
  <si>
    <t>I22529/FDE</t>
  </si>
  <si>
    <t>20.00</t>
  </si>
  <si>
    <t>m³</t>
  </si>
  <si>
    <t>Muro</t>
  </si>
  <si>
    <t>Demolição de piso cimentado</t>
  </si>
  <si>
    <t>Interligação com hospital e muro</t>
  </si>
  <si>
    <t>Circulação</t>
  </si>
  <si>
    <t>Paredes/Circulação</t>
  </si>
  <si>
    <t>Sapatas/Circulação</t>
  </si>
  <si>
    <t>Sapatas/Muro</t>
  </si>
  <si>
    <t>Concreto armado 20 MPA sapatas e vigas baldrames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</si>
  <si>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</si>
  <si>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</si>
  <si>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</si>
  <si>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</si>
  <si>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</si>
  <si>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</si>
  <si>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</si>
  <si>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</si>
  <si>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</si>
  <si>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</si>
  <si>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</si>
  <si>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3.12.1</t>
  </si>
  <si>
    <t>3.12.2</t>
  </si>
  <si>
    <t>3.12.3</t>
  </si>
  <si>
    <t>3.12.4</t>
  </si>
  <si>
    <t>3.12.5</t>
  </si>
  <si>
    <t>3.12.6</t>
  </si>
  <si>
    <t>4.5</t>
  </si>
  <si>
    <t>Vigas/Circulação</t>
  </si>
  <si>
    <t>Pilares/Circulação</t>
  </si>
  <si>
    <t>Vergas, contravergas, cintas e pilaretes de concreto armado</t>
  </si>
  <si>
    <t>Concreto armado 20 MPA vigas e pilares</t>
  </si>
  <si>
    <t>Interligação com hospital</t>
  </si>
  <si>
    <t>5.3.1</t>
  </si>
  <si>
    <t>5.3.2</t>
  </si>
  <si>
    <t>5.3.3</t>
  </si>
  <si>
    <t>5.3.4</t>
  </si>
  <si>
    <t>5.4.1</t>
  </si>
  <si>
    <t>5.5.1</t>
  </si>
  <si>
    <t>5.5.2</t>
  </si>
  <si>
    <t>Platibanda CPN e Circulação</t>
  </si>
  <si>
    <t>Lateral</t>
  </si>
  <si>
    <t>Pilaretes</t>
  </si>
  <si>
    <t>6.6.1</t>
  </si>
  <si>
    <t>6.6.2</t>
  </si>
  <si>
    <t>6.6.3</t>
  </si>
  <si>
    <t>6.6.4</t>
  </si>
  <si>
    <t>6.7.1</t>
  </si>
  <si>
    <t>6.7.2</t>
  </si>
  <si>
    <t>6.7.3</t>
  </si>
  <si>
    <t>6.7.4</t>
  </si>
  <si>
    <t>6.7.5</t>
  </si>
  <si>
    <t>7.10</t>
  </si>
  <si>
    <t>8.6</t>
  </si>
  <si>
    <t>8.6.1</t>
  </si>
  <si>
    <t>Porta</t>
  </si>
  <si>
    <t>9.1.1</t>
  </si>
  <si>
    <t>9.1.3</t>
  </si>
  <si>
    <t>9.1.4</t>
  </si>
  <si>
    <t>9.1.5</t>
  </si>
  <si>
    <t>9.1.6</t>
  </si>
  <si>
    <t>9.1.7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</si>
  <si>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</si>
  <si>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</si>
  <si>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</si>
  <si>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</si>
  <si>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</si>
  <si>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</si>
  <si>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</si>
  <si>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</si>
  <si>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9.3.1</t>
  </si>
  <si>
    <t>9.3.2</t>
  </si>
  <si>
    <t>9.3.3</t>
  </si>
  <si>
    <t>9.3.4</t>
  </si>
  <si>
    <t>9.3.5</t>
  </si>
  <si>
    <t>9.3.6</t>
  </si>
  <si>
    <t>9.3.7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</si>
  <si>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</si>
  <si>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</si>
  <si>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</si>
  <si>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</si>
  <si>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</si>
  <si>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</si>
  <si>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</si>
  <si>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</si>
  <si>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</si>
  <si>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</si>
  <si>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</si>
  <si>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</si>
  <si>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</si>
  <si>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</si>
  <si>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</si>
  <si>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</si>
  <si>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>9.5.7</t>
  </si>
  <si>
    <t>9.5.7.1</t>
  </si>
  <si>
    <t>9.5.7.2</t>
  </si>
  <si>
    <t>9.5.7.3</t>
  </si>
  <si>
    <t>9.5.7.4</t>
  </si>
  <si>
    <t>9.5.7.5</t>
  </si>
  <si>
    <t>Revestimento vinílico</t>
  </si>
  <si>
    <t>8.6.3</t>
  </si>
  <si>
    <t>9.5.7.6</t>
  </si>
  <si>
    <t>9.6.1</t>
  </si>
  <si>
    <t>9.6.2</t>
  </si>
  <si>
    <t>9.6.3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</si>
  <si>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</si>
  <si>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</si>
  <si>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</si>
  <si>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</si>
  <si>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</si>
  <si>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</si>
  <si>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</si>
  <si>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</si>
  <si>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</si>
  <si>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</si>
  <si>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</si>
  <si>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</si>
  <si>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</si>
  <si>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</si>
  <si>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</si>
  <si>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</si>
  <si>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</si>
  <si>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</si>
  <si>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</si>
  <si>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</si>
  <si>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</si>
  <si>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</si>
  <si>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</si>
  <si>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</si>
  <si>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</si>
  <si>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</si>
  <si>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</si>
  <si>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</si>
  <si>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</si>
  <si>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</si>
  <si>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</si>
  <si>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</si>
  <si>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</si>
  <si>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</si>
  <si>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</si>
  <si>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</si>
  <si>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</si>
  <si>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10.39.1</t>
  </si>
  <si>
    <t>10.39.2</t>
  </si>
  <si>
    <t>10.39.3</t>
  </si>
  <si>
    <t>10.39.4</t>
  </si>
  <si>
    <t>10.39.5</t>
  </si>
  <si>
    <t>10.40</t>
  </si>
  <si>
    <t>10.40.1</t>
  </si>
  <si>
    <t>10.40.2</t>
  </si>
  <si>
    <t>10.40.3</t>
  </si>
  <si>
    <t>10.40.4</t>
  </si>
  <si>
    <t>10.40.5</t>
  </si>
  <si>
    <t>10.40.6</t>
  </si>
  <si>
    <t>10.40.7</t>
  </si>
  <si>
    <t>11.3.1</t>
  </si>
  <si>
    <t>11.3.2</t>
  </si>
  <si>
    <t>Parede Comum/circulação</t>
  </si>
  <si>
    <t>12.6.1</t>
  </si>
  <si>
    <t>12.6.2</t>
  </si>
  <si>
    <t>13.7.1</t>
  </si>
  <si>
    <t>13.7.2</t>
  </si>
  <si>
    <t>13.8.1</t>
  </si>
  <si>
    <t>13.8.2</t>
  </si>
  <si>
    <t>14.3</t>
  </si>
  <si>
    <t>14.4</t>
  </si>
  <si>
    <t>14.5</t>
  </si>
  <si>
    <t>14.7</t>
  </si>
  <si>
    <t>15.3.1</t>
  </si>
  <si>
    <t>Circulação/Janelas</t>
  </si>
  <si>
    <t>Circulação/Interno</t>
  </si>
  <si>
    <t>Circulação/Externo</t>
  </si>
  <si>
    <t>16.8</t>
  </si>
  <si>
    <t>16.9</t>
  </si>
  <si>
    <t>16.9.1</t>
  </si>
  <si>
    <t>16.9.2</t>
  </si>
  <si>
    <t>16.9.3</t>
  </si>
  <si>
    <t>16.9.4</t>
  </si>
  <si>
    <t>16.9.5</t>
  </si>
  <si>
    <t>16.9.6</t>
  </si>
  <si>
    <t>16.9.7</t>
  </si>
  <si>
    <t>16.9.8</t>
  </si>
  <si>
    <t>17.6</t>
  </si>
  <si>
    <t>17.7</t>
  </si>
  <si>
    <t>17.7.1</t>
  </si>
  <si>
    <t>17.7.2</t>
  </si>
  <si>
    <t>17.7.3</t>
  </si>
  <si>
    <t>17.7.4</t>
  </si>
  <si>
    <t>17.7.5</t>
  </si>
  <si>
    <t>17.7.6</t>
  </si>
  <si>
    <t>17.7.7</t>
  </si>
  <si>
    <t>17.7.8</t>
  </si>
  <si>
    <t>18.1.1</t>
  </si>
  <si>
    <t>18.1.2</t>
  </si>
  <si>
    <t>18.1.3</t>
  </si>
  <si>
    <t>18.2.1</t>
  </si>
  <si>
    <t>18.2.2</t>
  </si>
  <si>
    <t>18.2.3</t>
  </si>
  <si>
    <t>18.2.4</t>
  </si>
  <si>
    <t>18.2.5</t>
  </si>
  <si>
    <t>19.3</t>
  </si>
  <si>
    <t>18.3.1</t>
  </si>
  <si>
    <t>18.3.2</t>
  </si>
  <si>
    <t>18.4.1</t>
  </si>
  <si>
    <t>18.5.1</t>
  </si>
  <si>
    <t>18.5.2</t>
  </si>
  <si>
    <t>18.5.3</t>
  </si>
  <si>
    <t>19.4</t>
  </si>
  <si>
    <t>19.5</t>
  </si>
  <si>
    <t>Plantio de Grama</t>
  </si>
  <si>
    <t>20.1</t>
  </si>
  <si>
    <t>20.2</t>
  </si>
  <si>
    <t>20.3</t>
  </si>
  <si>
    <t>Frente</t>
  </si>
  <si>
    <t>20.4</t>
  </si>
  <si>
    <t>20.5</t>
  </si>
  <si>
    <t>Bate maca</t>
  </si>
  <si>
    <t>Demolição de alvenaria de tijolos furados s/reaproveitamento</t>
  </si>
  <si>
    <t>73899/002</t>
  </si>
  <si>
    <t>C1066</t>
  </si>
  <si>
    <t>Calha de chapa galvanizada 26 desenvolvimento 50cm</t>
  </si>
  <si>
    <t>C0661</t>
  </si>
  <si>
    <t>Interligação com hospital, muro e gradil</t>
  </si>
  <si>
    <t>7.10.1</t>
  </si>
  <si>
    <t>7.10.2</t>
  </si>
  <si>
    <t>PORTA DE MADEIRA COMPENSADA LISA PARA PINTURA, 160X210X3,5CM, 2 FOLHAS, INCLUSO ADUELA 2A, ALIZAR 2A E DOBRADICAS TIPO VAI E VEM</t>
  </si>
  <si>
    <t>CARPINTEIRO DE ESQUADRIA COM ENCARGOS COMPLEMENTARES</t>
  </si>
  <si>
    <t>88261/SINAPI</t>
  </si>
  <si>
    <t>ARGAMASSA TRAÇO 1:0,5:4,5 (CIMENTO, CAL E AREIA MÉDIA) PARA 
ASSENTAMENTO DE ALVENARIA, PREPARO MANUAL</t>
  </si>
  <si>
    <t>88627/SINAPI</t>
  </si>
  <si>
    <t>ADUELA/BATENTE DUPLO/CAIXAO/GRADE CAIXA 13 X 3CM P/PORTA 0,60 A 1,20 X 2,10M MADEIRA CEDRINHO/PINHO/CANELA OU SIMILAR</t>
  </si>
  <si>
    <t>I00184/SINAPI</t>
  </si>
  <si>
    <t>JG</t>
  </si>
  <si>
    <t>PECA DE MADEIRA DE LEI NATIVA/REGIONAL 10 X 10 X 3 CM P/ FIXACAO 
DE ESQUADRIAS OU RODAPE</t>
  </si>
  <si>
    <t>I4419/SINAPI</t>
  </si>
  <si>
    <t>PORTA DE MADEIRA SEMI-OCA, FOLHA LISA PARA PINTURA *80 X 210 X 
3,5* CM</t>
  </si>
  <si>
    <t>I10555/SINAPI</t>
  </si>
  <si>
    <t>ALIZAR / GUARNICAO 5 X 2CM MADEIRA CEDRO/IMBUIA/JEQUITIBA OU 
SIMILAR</t>
  </si>
  <si>
    <t>I20006/SINAPI</t>
  </si>
  <si>
    <t>PREGO DE ACO 15 X 15 C/ CABECA</t>
  </si>
  <si>
    <t>I20247/SINAPI</t>
  </si>
  <si>
    <t>DOBRADIÇA CROMADA TIPO VAI - VEM</t>
  </si>
  <si>
    <t>C1146/SEINFRA</t>
  </si>
  <si>
    <t>porta de madeira compensada lisa para pintura, 160 x 210 x 3,5cm,duas folhas, incluso aduela 2a, alizar 2a e dobradiça vai-vem</t>
  </si>
  <si>
    <t>C0384</t>
  </si>
  <si>
    <t>CONCRETO ARMADO DOSADO 20 MPA INCL MAT P/ 1 M3 PREPARO CONF COMP 5845 COLOC CONF COMP 7090 14 M2 DE AREA MOLDADA FORMAS E ESCORAMENTO CONF COMPS 5306 E 5708 60 KG DE ACO CA-50 INC MAO DE OBRA P/CORTE DOBRAGEM MONTAGEM E COLOCAÇÃO</t>
  </si>
  <si>
    <t>Unid: M³</t>
  </si>
  <si>
    <t>CARPINTEIRO DE FORMAS COM ENCARGOS COMPLEMENTARES</t>
  </si>
  <si>
    <t xml:space="preserve">H </t>
  </si>
  <si>
    <t>88245/SINAPI</t>
  </si>
  <si>
    <t>ARMADOR COM ENCARGOS COMPLEMENTARES</t>
  </si>
  <si>
    <t>88297/SINAPI</t>
  </si>
  <si>
    <t>OPERADOR DE MÁQUINAS E EQUIPAMENTOS COM ENCARGOS COMPLEMENTARES</t>
  </si>
  <si>
    <t>I0337/SINAPI</t>
  </si>
  <si>
    <t>ARAME RECOZIDO 18 BWG, 1,25 MM (0,01 KG/M)</t>
  </si>
  <si>
    <t>I0027/SINAPI</t>
  </si>
  <si>
    <t>ACO CA-50, 16,0 MM, VERGALHAO</t>
  </si>
  <si>
    <t>I0029/SINAPI</t>
  </si>
  <si>
    <t>ACO CA-50, 20,0 MM, VERGALHAO</t>
  </si>
  <si>
    <t>I0031/SINAPI</t>
  </si>
  <si>
    <t>ACO CA-50, 12,5 MM, VERGALHAO</t>
  </si>
  <si>
    <t>I0032/SINAPI</t>
  </si>
  <si>
    <t>ACO CA-50, 6,3 MM, VERGALHAO</t>
  </si>
  <si>
    <t>I0033/SINAPI</t>
  </si>
  <si>
    <t>ACO CA-50, 8,0 MM, VERGALHAO</t>
  </si>
  <si>
    <t>I0034/SINAPI</t>
  </si>
  <si>
    <t>ACO CA-50, 10,0 MM, VERGALHAO</t>
  </si>
  <si>
    <t>SERVIÇOS</t>
  </si>
  <si>
    <t>73294/SINAPI</t>
  </si>
  <si>
    <t xml:space="preserve">BETONEIRA MOTOR GAS P/320L MIST SECA (CP) CARREG MEC E TAMBOR REVERSI-VEL - EXCL OPERADOR                                                                                                               </t>
  </si>
  <si>
    <t>73296/SINAPI</t>
  </si>
  <si>
    <t xml:space="preserve">ALUGUEL ELEVADOR EQUIPADO P/TRANSP CONCR A 10M ALT-CP-S/OPERADOR COM GUINCHO DE 10CV 16M TORRE DESMONTAVEL CACAMBA AUTOMATICA DE 550L FUNIL
P/DESCARGA E SILO DE ESPERA DE 1000L                                                                                                          </t>
  </si>
  <si>
    <t>73298/SINAPI</t>
  </si>
  <si>
    <t xml:space="preserve">VIBRADOR DE IMERSAO MOTOR ELETR 2CV (CP) TUBO DE 48X48 C/MANGOTEDE 5M COMP -EXCL OPERADOR                                                                                                               </t>
  </si>
  <si>
    <t>73299/SINAPI</t>
  </si>
  <si>
    <t xml:space="preserve">VIBRADOR DE IMERSAO MOTOR ELETR 2CV (CI) TUBO 48X480MM C/MANGOTEDE 5M COMP - EXCL OPERADOR                                                                                                              </t>
  </si>
  <si>
    <t>73300/SINAPI</t>
  </si>
  <si>
    <t xml:space="preserve">ALUGUEL ELEVADOR EQUIPADO P/TRANSP CONCR A 10M ALT-CI-S/OPERADOR COMGUINCHO DE 10CV 16M TORRE DESMONTAVEL CACAMBA AUTOMATICA DE 550L FUNILP/DESCARGA E SILO ESPERA DE 1000L                             </t>
  </si>
  <si>
    <t>73301/SINAPI</t>
  </si>
  <si>
    <t>ESCORAMENTO DE FORMA (CIMBRAMENTO) ATE 3,30M DE PE DIREITO, COM MADEIRA DE 3A QUALIDADE, NAO APARELHADA, TABUAS (2,5 X 23,0 CM) EMPREGADAS 3 VEZES E PRUMOS (7,5 X 7,5 CM) 4 VEZES</t>
  </si>
  <si>
    <t>M3</t>
  </si>
  <si>
    <t>73972/002/SINAPI</t>
  </si>
  <si>
    <t xml:space="preserve">CONCRETO FCK=20MPA CONTROLE C ,EXCLUINDO O LANCAMENTO, PREPARO COM B ETONEIRA, UTILIZANDO BRITA 1 E 2. (CONFORME NBR 6118, PERMITIDO APENASPARA FUNDAÇÕES)                                              </t>
  </si>
  <si>
    <t>74007/002/SINAPI</t>
  </si>
  <si>
    <t xml:space="preserve">FORMA TABUAS MADEIRA 3A P/ PECAS CONCRETO ARM, REAPR 2X, INCL MONTAGEM E DESMONTAGEM                                                                                                                                                    </t>
  </si>
  <si>
    <t>M2</t>
  </si>
  <si>
    <t>TOTAL SERVIÇOS</t>
  </si>
  <si>
    <t>73904/001</t>
  </si>
  <si>
    <t>Interruptor paralelo 2 tecla com placa</t>
  </si>
  <si>
    <t>Porta 60x210</t>
  </si>
  <si>
    <t>Porta 70x210</t>
  </si>
  <si>
    <t>Porta 80x210</t>
  </si>
  <si>
    <t>Porta de correr</t>
  </si>
  <si>
    <t>Compa</t>
  </si>
  <si>
    <t>Quarto PPP 1</t>
  </si>
  <si>
    <t>Dep. De Equip.</t>
  </si>
  <si>
    <t>Ban. Func.</t>
  </si>
  <si>
    <t>Recepção</t>
  </si>
  <si>
    <t>C2284</t>
  </si>
  <si>
    <t>Soleira em granito l=15cm</t>
  </si>
  <si>
    <t>Solarium 6, 2 e 1</t>
  </si>
  <si>
    <t>Solarium 5, 4 e 3</t>
  </si>
  <si>
    <t>09560</t>
  </si>
  <si>
    <t>Janela C1</t>
  </si>
  <si>
    <t>Janela C2</t>
  </si>
  <si>
    <t>Janela C3</t>
  </si>
  <si>
    <t>Janela C4</t>
  </si>
  <si>
    <t>Janela C7</t>
  </si>
  <si>
    <t>Janela C5</t>
  </si>
  <si>
    <t>Janela C6</t>
  </si>
  <si>
    <t>Visor 1</t>
  </si>
  <si>
    <t>Visor 2</t>
  </si>
  <si>
    <t>01819</t>
  </si>
  <si>
    <t>C1967</t>
  </si>
  <si>
    <t>74065/002</t>
  </si>
  <si>
    <t>Pintura esmalte sintético para madeira, duas demãos, sobre fundo branco</t>
  </si>
  <si>
    <t>Forma porta 60x210</t>
  </si>
  <si>
    <t>Forma porta 70x210</t>
  </si>
  <si>
    <t>Forma porta 80x210</t>
  </si>
  <si>
    <t>Forma</t>
  </si>
  <si>
    <t>Cochão de areia para pavimentação em paralelepípedo ou blocos de concreto intertravados</t>
  </si>
  <si>
    <t>Piso Intertravado Tipo Tijolinho (19,9X10X4)cm cinza</t>
  </si>
  <si>
    <t>C3446</t>
  </si>
  <si>
    <t>DEMOLIÇÃO DE ALVENARIA DE BLOCO OU TIJOLO CERÂMICO, SEM REAPROVEITAMENTO</t>
  </si>
  <si>
    <t>00006/ORSE</t>
  </si>
  <si>
    <t>DEMOLIÇÃO DE PISO CERÂMICO OU LADRILHO</t>
  </si>
  <si>
    <t>00018/ORSE</t>
  </si>
  <si>
    <t>Unid: UM.</t>
  </si>
  <si>
    <t>Unid: UN.</t>
  </si>
  <si>
    <t>9.1.8</t>
  </si>
  <si>
    <t xml:space="preserve">RETIRADAS E DEMOLIÇÕES </t>
  </si>
  <si>
    <t>Demolição de telha cerâmica</t>
  </si>
  <si>
    <t>Demolição de laje</t>
  </si>
  <si>
    <t>Gerador</t>
  </si>
  <si>
    <t>Construção Inacabada</t>
  </si>
  <si>
    <t>Multiplicado por uma fotor de 1,30</t>
  </si>
  <si>
    <t>4.5.1</t>
  </si>
  <si>
    <t>4.5.2</t>
  </si>
  <si>
    <t>5.4.2</t>
  </si>
  <si>
    <t>Circulação/paredes existentes do hospital</t>
  </si>
  <si>
    <t>Circulação/Platibanda</t>
  </si>
  <si>
    <t>Janela em aluminio anonizado branco tipo correr (1,35x1,10) m</t>
  </si>
  <si>
    <t>Interruptor simples 1 tecla com placa</t>
  </si>
  <si>
    <t>10.39.6</t>
  </si>
  <si>
    <t>10.39.7</t>
  </si>
  <si>
    <t>Interruptor simples 3 teclas com placa</t>
  </si>
  <si>
    <t>10.39.8</t>
  </si>
  <si>
    <t>Circulação para arândelas presentes no prisma de ventilação</t>
  </si>
  <si>
    <t>Circulação/Prisma de ventilação</t>
  </si>
  <si>
    <t>Plaribanda/Paredes existententes do Hospital</t>
  </si>
  <si>
    <t>URBANIZAÇÃO</t>
  </si>
  <si>
    <t>20.6</t>
  </si>
  <si>
    <t>21.00</t>
  </si>
  <si>
    <t>21.1</t>
  </si>
  <si>
    <t>21.2</t>
  </si>
  <si>
    <t>21.3</t>
  </si>
  <si>
    <t>Meio-fio</t>
  </si>
  <si>
    <t>14.7.1</t>
  </si>
  <si>
    <t>14.7.2</t>
  </si>
  <si>
    <t>14.7.3</t>
  </si>
  <si>
    <t>14.7.4</t>
  </si>
  <si>
    <t>Circulação/Porta</t>
  </si>
  <si>
    <t>Prisma de Iluminação</t>
  </si>
  <si>
    <t>unid</t>
  </si>
  <si>
    <t>Circulação/Interligação</t>
  </si>
  <si>
    <t>Circulação/CPN</t>
  </si>
  <si>
    <t>Demolição de estrutura de madeira do telhado</t>
  </si>
  <si>
    <t>03403</t>
  </si>
  <si>
    <t>C3449</t>
  </si>
  <si>
    <t>Banco de madeira c/assento fixado em concreto e encosto fixado em tubo de aço galvanizado</t>
  </si>
  <si>
    <t>C3611</t>
  </si>
  <si>
    <r>
      <rPr>
        <b/>
        <sz val="12"/>
        <rFont val="Arial"/>
        <family val="2"/>
      </rPr>
      <t xml:space="preserve">Município: </t>
    </r>
    <r>
      <rPr>
        <sz val="12"/>
        <rFont val="Arial"/>
        <family val="2"/>
      </rPr>
      <t>Floriano - PI</t>
    </r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</si>
  <si>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 Floriano-PI</t>
    </r>
  </si>
  <si>
    <r>
      <rPr>
        <b/>
        <sz val="14"/>
        <color indexed="8"/>
        <rFont val="Arial"/>
        <family val="2"/>
      </rPr>
      <t xml:space="preserve">Município: </t>
    </r>
    <r>
      <rPr>
        <sz val="14"/>
        <color indexed="8"/>
        <rFont val="Arial"/>
        <family val="2"/>
      </rPr>
      <t>Floriano-PI</t>
    </r>
  </si>
  <si>
    <r>
      <rPr>
        <b/>
        <sz val="11"/>
        <color indexed="8"/>
        <rFont val="Arial"/>
        <family val="2"/>
      </rPr>
      <t>Município:</t>
    </r>
    <r>
      <rPr>
        <sz val="11"/>
        <color indexed="8"/>
        <rFont val="Arial"/>
        <family val="2"/>
      </rPr>
      <t xml:space="preserve"> Floriano - PI</t>
    </r>
  </si>
  <si>
    <r>
      <t xml:space="preserve">Município: </t>
    </r>
    <r>
      <rPr>
        <sz val="10"/>
        <rFont val="Arial"/>
        <family val="2"/>
      </rPr>
      <t>Floriano - PI</t>
    </r>
  </si>
  <si>
    <t>73972/002</t>
  </si>
  <si>
    <t>Concreto fck=20mpa, virado em betoneira</t>
  </si>
  <si>
    <t>Alvenaria de embasamento em tijolos ceramicos furado 10x20x20cm</t>
  </si>
  <si>
    <t>Impermeabilização de Laje com manta asfáltica protegida filme de alumínio gofrado (de espessura 0,8mm), inclusa aplicação de emulsão asfaltica, E=3mm</t>
  </si>
  <si>
    <t>73753/001</t>
  </si>
  <si>
    <t>Caixilho fixo, em alumínio cor branco, p/ visor</t>
  </si>
  <si>
    <t>Janela em alumínio, cor branco, de correr</t>
  </si>
  <si>
    <t>Janela em alumínio, cor branco, maximar</t>
  </si>
  <si>
    <t>Porta em aluminio, cor branco, de correr ou abrir, completa, exclusive vidros</t>
  </si>
  <si>
    <t>Porta em alumínio, cor branco</t>
  </si>
  <si>
    <t>ESQUADRIAS MAADEIRA</t>
  </si>
  <si>
    <t>Fechadura de embutir completa p/ porta interna</t>
  </si>
  <si>
    <t>C1361</t>
  </si>
  <si>
    <t>Banheira hospitalar c/ tampo e cuba em aço inox, dim. 180x160cm</t>
  </si>
  <si>
    <t>Torneira cirúrgica (instalado)</t>
  </si>
  <si>
    <t>C2496</t>
  </si>
  <si>
    <t>Tanque de aço inoxidável, com sifão cromado e válvula de metal - completo</t>
  </si>
  <si>
    <t>C2311</t>
  </si>
  <si>
    <t>Emboco traco 1:2:8 (cimento, cal e areia media), espessura 2,0cm, preparo mecânico</t>
  </si>
  <si>
    <t>Areia p/ aterro com apiloamento manual</t>
  </si>
  <si>
    <t>C1853</t>
  </si>
  <si>
    <t>C1849</t>
  </si>
  <si>
    <t>Aplicação manual de pintura com tinta hospitalar acrílica, acabamento  acetinada em paredes, sem odor, duas demãos</t>
  </si>
  <si>
    <t>C1615</t>
  </si>
  <si>
    <t>Peitoril em granito l=15cm</t>
  </si>
  <si>
    <t>13.8.3</t>
  </si>
  <si>
    <t>ALVENARIA DE TIJOLO CERAMICO FURADO (BAIANO) ESP.NOM 15 CM</t>
  </si>
  <si>
    <t>REVESTIMENTO VINÍLICO</t>
  </si>
  <si>
    <t>111162/ORSE</t>
  </si>
  <si>
    <t>I04791/SINAPI</t>
  </si>
  <si>
    <t>COLA CONTATO P/ CHAPA VINÍLICA/BORRACHA</t>
  </si>
  <si>
    <t>Calçada</t>
  </si>
  <si>
    <t>14.7.5</t>
  </si>
  <si>
    <t>Execução de calçada em concreto (cimento/areia/seixo rolado), preparo mecânico, espessura 7cm, com junta de dilatação em madeira, incluso lançamento e adensamento</t>
  </si>
  <si>
    <t>73892/001</t>
  </si>
  <si>
    <t>Calçada de contorno</t>
  </si>
  <si>
    <t>Aterro apiloado (manual) com camadas de 20cm, com empréstimo</t>
  </si>
  <si>
    <t>1.6</t>
  </si>
  <si>
    <t>1.6.1</t>
  </si>
  <si>
    <t>Teresina (PI), 23 de Abril de 2015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</si>
</sst>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00"/>
    <numFmt numFmtId="181" formatCode="#,##0.0000"/>
    <numFmt numFmtId="182" formatCode="0.000"/>
    <numFmt numFmtId="183" formatCode="#,##0.00000"/>
    <numFmt numFmtId="184" formatCode="0.0000"/>
    <numFmt numFmtId="185" formatCode="_-* #,##0.0000_-;\-* #,##0.0000_-;_-* &quot;-&quot;??_-;_-@_-"/>
    <numFmt numFmtId="186" formatCode="_-* #,##0.000_-;\-* #,##0.000_-;_-* &quot;-&quot;??_-;_-@_-"/>
    <numFmt numFmtId="187" formatCode="#,##0.0000_ ;\-#,##0.0000\ 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0.00000"/>
    <numFmt numFmtId="192" formatCode="[$-416]dddd\,\ d&quot; de &quot;mmmm&quot; de &quot;yyyy"/>
    <numFmt numFmtId="193" formatCode="0.0%"/>
    <numFmt numFmtId="194" formatCode="0.000000"/>
    <numFmt numFmtId="195" formatCode="@&quot; - PI&quot;"/>
    <numFmt numFmtId="196" formatCode="0\.00"/>
    <numFmt numFmtId="197" formatCode="00000000"/>
    <numFmt numFmtId="198" formatCode="00000000.0"/>
    <numFmt numFmtId="199" formatCode="0000000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sz val="25"/>
      <color indexed="8"/>
      <name val="Arial Narrow"/>
      <family val="2"/>
    </font>
    <font>
      <b/>
      <sz val="18"/>
      <color indexed="8"/>
      <name val="Arial Narrow"/>
      <family val="2"/>
    </font>
    <font>
      <b/>
      <sz val="22"/>
      <color indexed="8"/>
      <name val="Arial Narrow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0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00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</borders>
  <cellStyleXfs count="4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91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4" fontId="3" fillId="0" borderId="0" xfId="31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31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3" fillId="33" borderId="0" xfId="296" applyFont="1" applyFill="1" applyBorder="1" applyAlignment="1">
      <alignment/>
      <protection/>
    </xf>
    <xf numFmtId="4" fontId="3" fillId="34" borderId="0" xfId="310" applyNumberFormat="1" applyFont="1" applyFill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71" fontId="6" fillId="0" borderId="0" xfId="444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310" applyNumberFormat="1" applyFont="1" applyFill="1" applyBorder="1" applyAlignment="1">
      <alignment horizontal="right" vertical="center" wrapText="1"/>
    </xf>
    <xf numFmtId="4" fontId="3" fillId="34" borderId="0" xfId="310" applyNumberFormat="1" applyFont="1" applyFill="1" applyBorder="1" applyAlignment="1">
      <alignment horizontal="center" vertical="center" wrapText="1"/>
    </xf>
    <xf numFmtId="10" fontId="3" fillId="34" borderId="0" xfId="0" applyNumberFormat="1" applyFont="1" applyFill="1" applyBorder="1" applyAlignment="1">
      <alignment horizontal="center" vertical="center" wrapText="1"/>
    </xf>
    <xf numFmtId="0" fontId="3" fillId="34" borderId="0" xfId="296" applyFont="1" applyFill="1" applyBorder="1" applyAlignment="1">
      <alignment vertical="center"/>
      <protection/>
    </xf>
    <xf numFmtId="0" fontId="3" fillId="34" borderId="0" xfId="296" applyFont="1" applyFill="1" applyBorder="1" applyAlignment="1">
      <alignment horizontal="center" vertical="center"/>
      <protection/>
    </xf>
    <xf numFmtId="0" fontId="9" fillId="34" borderId="0" xfId="296" applyFont="1" applyFill="1" applyAlignment="1">
      <alignment vertical="center"/>
      <protection/>
    </xf>
    <xf numFmtId="171" fontId="9" fillId="34" borderId="0" xfId="432" applyFont="1" applyFill="1" applyAlignment="1">
      <alignment vertical="center"/>
    </xf>
    <xf numFmtId="0" fontId="10" fillId="34" borderId="0" xfId="296" applyFont="1" applyFill="1">
      <alignment/>
      <protection/>
    </xf>
    <xf numFmtId="171" fontId="10" fillId="34" borderId="0" xfId="432" applyFont="1" applyFill="1" applyAlignment="1">
      <alignment/>
    </xf>
    <xf numFmtId="0" fontId="3" fillId="34" borderId="0" xfId="299" applyFont="1" applyFill="1" applyAlignment="1">
      <alignment horizontal="center" vertical="center" wrapText="1"/>
      <protection/>
    </xf>
    <xf numFmtId="171" fontId="3" fillId="34" borderId="0" xfId="321" applyFont="1" applyFill="1" applyAlignment="1">
      <alignment vertical="center" wrapText="1"/>
    </xf>
    <xf numFmtId="0" fontId="3" fillId="34" borderId="0" xfId="299" applyFont="1" applyFill="1" applyAlignment="1">
      <alignment vertical="center" wrapText="1"/>
      <protection/>
    </xf>
    <xf numFmtId="171" fontId="3" fillId="34" borderId="0" xfId="321" applyNumberFormat="1" applyFont="1" applyFill="1" applyAlignment="1">
      <alignment vertical="center" wrapText="1"/>
    </xf>
    <xf numFmtId="43" fontId="3" fillId="34" borderId="0" xfId="299" applyNumberFormat="1" applyFont="1" applyFill="1" applyAlignment="1">
      <alignment horizontal="right" vertical="center" wrapText="1"/>
      <protection/>
    </xf>
    <xf numFmtId="0" fontId="3" fillId="34" borderId="0" xfId="299" applyFont="1" applyFill="1" applyBorder="1" applyAlignment="1">
      <alignment horizontal="left" vertical="center" wrapText="1"/>
      <protection/>
    </xf>
    <xf numFmtId="0" fontId="9" fillId="34" borderId="0" xfId="296" applyFont="1" applyFill="1">
      <alignment/>
      <protection/>
    </xf>
    <xf numFmtId="171" fontId="9" fillId="34" borderId="0" xfId="432" applyFont="1" applyFill="1" applyAlignment="1">
      <alignment/>
    </xf>
    <xf numFmtId="0" fontId="3" fillId="34" borderId="0" xfId="299" applyFont="1" applyFill="1" applyBorder="1" applyAlignment="1">
      <alignment horizontal="left"/>
      <protection/>
    </xf>
    <xf numFmtId="0" fontId="3" fillId="34" borderId="0" xfId="299" applyNumberFormat="1" applyFont="1" applyFill="1" applyBorder="1" applyAlignment="1">
      <alignment/>
      <protection/>
    </xf>
    <xf numFmtId="0" fontId="2" fillId="34" borderId="0" xfId="299" applyFont="1" applyFill="1" applyBorder="1" applyAlignment="1">
      <alignment horizontal="left" vertical="center"/>
      <protection/>
    </xf>
    <xf numFmtId="171" fontId="9" fillId="34" borderId="0" xfId="432" applyFont="1" applyFill="1" applyAlignment="1">
      <alignment horizontal="left"/>
    </xf>
    <xf numFmtId="0" fontId="2" fillId="34" borderId="0" xfId="299" applyFont="1" applyFill="1" applyBorder="1" applyAlignment="1">
      <alignment horizontal="left" vertical="top"/>
      <protection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44" fillId="0" borderId="0" xfId="0" applyNumberFormat="1" applyFont="1" applyFill="1" applyBorder="1" applyAlignment="1">
      <alignment vertical="center" wrapText="1"/>
    </xf>
    <xf numFmtId="172" fontId="45" fillId="0" borderId="0" xfId="52" applyNumberFormat="1" applyFont="1" applyFill="1" applyBorder="1" applyAlignment="1">
      <alignment vertical="center" wrapText="1"/>
      <protection/>
    </xf>
    <xf numFmtId="0" fontId="79" fillId="0" borderId="0" xfId="0" applyFont="1" applyFill="1" applyBorder="1" applyAlignment="1">
      <alignment vertical="center"/>
    </xf>
    <xf numFmtId="0" fontId="80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171" fontId="21" fillId="34" borderId="0" xfId="308" applyFont="1" applyFill="1" applyBorder="1" applyAlignment="1">
      <alignment horizontal="center" vertical="center" wrapText="1"/>
    </xf>
    <xf numFmtId="171" fontId="21" fillId="34" borderId="0" xfId="308" applyFont="1" applyFill="1" applyBorder="1" applyAlignment="1">
      <alignment horizontal="center" vertical="center"/>
    </xf>
    <xf numFmtId="171" fontId="21" fillId="35" borderId="15" xfId="308" applyFont="1" applyFill="1" applyBorder="1" applyAlignment="1">
      <alignment horizontal="center" vertical="center" wrapText="1"/>
    </xf>
    <xf numFmtId="171" fontId="21" fillId="35" borderId="16" xfId="308" applyFont="1" applyFill="1" applyBorder="1" applyAlignment="1">
      <alignment horizontal="left" vertical="center" wrapText="1"/>
    </xf>
    <xf numFmtId="171" fontId="21" fillId="35" borderId="16" xfId="308" applyFont="1" applyFill="1" applyBorder="1" applyAlignment="1">
      <alignment horizontal="center" vertical="center" wrapText="1"/>
    </xf>
    <xf numFmtId="171" fontId="21" fillId="35" borderId="16" xfId="308" applyFont="1" applyFill="1" applyBorder="1" applyAlignment="1">
      <alignment horizontal="center" vertical="center"/>
    </xf>
    <xf numFmtId="171" fontId="21" fillId="35" borderId="17" xfId="308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2" fontId="81" fillId="0" borderId="11" xfId="0" applyNumberFormat="1" applyFont="1" applyBorder="1" applyAlignment="1">
      <alignment horizontal="center" vertical="center"/>
    </xf>
    <xf numFmtId="2" fontId="80" fillId="0" borderId="18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vertical="center"/>
    </xf>
    <xf numFmtId="2" fontId="81" fillId="0" borderId="19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wrapText="1"/>
    </xf>
    <xf numFmtId="0" fontId="81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/>
    </xf>
    <xf numFmtId="2" fontId="81" fillId="0" borderId="14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2" fontId="80" fillId="0" borderId="20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2" fontId="80" fillId="0" borderId="19" xfId="0" applyNumberFormat="1" applyFont="1" applyBorder="1" applyAlignment="1">
      <alignment horizontal="center" vertical="center"/>
    </xf>
    <xf numFmtId="0" fontId="81" fillId="0" borderId="11" xfId="0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1" fillId="0" borderId="0" xfId="0" applyFont="1" applyBorder="1" applyAlignment="1">
      <alignment/>
    </xf>
    <xf numFmtId="171" fontId="21" fillId="35" borderId="10" xfId="308" applyFont="1" applyFill="1" applyBorder="1" applyAlignment="1">
      <alignment horizontal="center" vertical="center" wrapText="1"/>
    </xf>
    <xf numFmtId="171" fontId="21" fillId="35" borderId="11" xfId="308" applyFont="1" applyFill="1" applyBorder="1" applyAlignment="1">
      <alignment horizontal="left" vertical="center" wrapText="1"/>
    </xf>
    <xf numFmtId="171" fontId="21" fillId="35" borderId="11" xfId="308" applyFont="1" applyFill="1" applyBorder="1" applyAlignment="1">
      <alignment horizontal="center" vertical="center" wrapText="1"/>
    </xf>
    <xf numFmtId="171" fontId="21" fillId="35" borderId="11" xfId="308" applyFont="1" applyFill="1" applyBorder="1" applyAlignment="1">
      <alignment horizontal="center" vertical="center"/>
    </xf>
    <xf numFmtId="171" fontId="21" fillId="35" borderId="18" xfId="308" applyFont="1" applyFill="1" applyBorder="1" applyAlignment="1">
      <alignment horizontal="center" vertical="center"/>
    </xf>
    <xf numFmtId="171" fontId="20" fillId="0" borderId="10" xfId="308" applyFont="1" applyFill="1" applyBorder="1" applyAlignment="1">
      <alignment horizontal="center" vertical="center" wrapText="1"/>
    </xf>
    <xf numFmtId="171" fontId="20" fillId="0" borderId="11" xfId="308" applyFont="1" applyFill="1" applyBorder="1" applyAlignment="1">
      <alignment horizontal="left" vertical="center" wrapText="1"/>
    </xf>
    <xf numFmtId="171" fontId="21" fillId="0" borderId="11" xfId="308" applyFont="1" applyFill="1" applyBorder="1" applyAlignment="1">
      <alignment horizontal="center" vertical="center" wrapText="1"/>
    </xf>
    <xf numFmtId="171" fontId="21" fillId="0" borderId="11" xfId="308" applyFont="1" applyFill="1" applyBorder="1" applyAlignment="1">
      <alignment horizontal="center" vertical="center"/>
    </xf>
    <xf numFmtId="171" fontId="21" fillId="0" borderId="18" xfId="308" applyFont="1" applyFill="1" applyBorder="1" applyAlignment="1">
      <alignment horizontal="center" vertical="center"/>
    </xf>
    <xf numFmtId="171" fontId="20" fillId="0" borderId="14" xfId="308" applyFont="1" applyFill="1" applyBorder="1" applyAlignment="1">
      <alignment horizontal="left" vertical="center" wrapText="1"/>
    </xf>
    <xf numFmtId="171" fontId="21" fillId="0" borderId="14" xfId="308" applyFont="1" applyFill="1" applyBorder="1" applyAlignment="1">
      <alignment horizontal="center" vertical="center"/>
    </xf>
    <xf numFmtId="171" fontId="20" fillId="0" borderId="13" xfId="308" applyFont="1" applyFill="1" applyBorder="1" applyAlignment="1">
      <alignment horizontal="center" vertical="center" wrapText="1"/>
    </xf>
    <xf numFmtId="171" fontId="21" fillId="0" borderId="14" xfId="308" applyFont="1" applyFill="1" applyBorder="1" applyAlignment="1">
      <alignment horizontal="left" vertical="center" wrapText="1"/>
    </xf>
    <xf numFmtId="171" fontId="81" fillId="0" borderId="12" xfId="308" applyFont="1" applyFill="1" applyBorder="1" applyAlignment="1">
      <alignment horizontal="center" vertical="center" wrapText="1"/>
    </xf>
    <xf numFmtId="171" fontId="81" fillId="0" borderId="0" xfId="308" applyFont="1" applyFill="1" applyBorder="1" applyAlignment="1">
      <alignment horizontal="left" vertical="center" wrapText="1"/>
    </xf>
    <xf numFmtId="171" fontId="80" fillId="0" borderId="13" xfId="308" applyFont="1" applyFill="1" applyBorder="1" applyAlignment="1">
      <alignment horizontal="center" vertical="center" wrapText="1"/>
    </xf>
    <xf numFmtId="171" fontId="80" fillId="0" borderId="14" xfId="308" applyFont="1" applyFill="1" applyBorder="1" applyAlignment="1">
      <alignment horizontal="left" vertical="center" wrapText="1"/>
    </xf>
    <xf numFmtId="171" fontId="81" fillId="0" borderId="10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left" vertical="center" wrapText="1"/>
    </xf>
    <xf numFmtId="2" fontId="81" fillId="0" borderId="0" xfId="0" applyNumberFormat="1" applyFont="1" applyFill="1" applyBorder="1" applyAlignment="1">
      <alignment horizontal="center" vertical="center"/>
    </xf>
    <xf numFmtId="171" fontId="81" fillId="0" borderId="14" xfId="308" applyFont="1" applyFill="1" applyBorder="1" applyAlignment="1">
      <alignment horizontal="left" vertical="center" wrapText="1"/>
    </xf>
    <xf numFmtId="171" fontId="21" fillId="0" borderId="14" xfId="308" applyFont="1" applyFill="1" applyBorder="1" applyAlignment="1">
      <alignment horizontal="center" vertical="center" wrapText="1"/>
    </xf>
    <xf numFmtId="171" fontId="20" fillId="0" borderId="0" xfId="308" applyFont="1" applyFill="1" applyBorder="1" applyAlignment="1">
      <alignment horizontal="left" vertical="center" wrapText="1"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2" fontId="81" fillId="0" borderId="0" xfId="0" applyNumberFormat="1" applyFont="1" applyBorder="1" applyAlignment="1">
      <alignment horizontal="left" vertical="center"/>
    </xf>
    <xf numFmtId="171" fontId="20" fillId="0" borderId="12" xfId="308" applyFont="1" applyFill="1" applyBorder="1" applyAlignment="1">
      <alignment horizontal="center" vertical="center" wrapText="1"/>
    </xf>
    <xf numFmtId="171" fontId="21" fillId="0" borderId="0" xfId="308" applyFont="1" applyFill="1" applyBorder="1" applyAlignment="1">
      <alignment horizontal="center" vertical="center"/>
    </xf>
    <xf numFmtId="171" fontId="21" fillId="0" borderId="0" xfId="308" applyFont="1" applyFill="1" applyBorder="1" applyAlignment="1">
      <alignment horizontal="left" vertical="center" wrapText="1"/>
    </xf>
    <xf numFmtId="171" fontId="21" fillId="0" borderId="12" xfId="308" applyFont="1" applyFill="1" applyBorder="1" applyAlignment="1">
      <alignment horizontal="center" vertical="center" wrapText="1"/>
    </xf>
    <xf numFmtId="171" fontId="20" fillId="0" borderId="0" xfId="308" applyFont="1" applyFill="1" applyBorder="1" applyAlignment="1">
      <alignment vertical="center" wrapText="1"/>
    </xf>
    <xf numFmtId="171" fontId="81" fillId="0" borderId="13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center" vertical="center"/>
    </xf>
    <xf numFmtId="171" fontId="81" fillId="0" borderId="18" xfId="308" applyFont="1" applyFill="1" applyBorder="1" applyAlignment="1">
      <alignment horizontal="center" vertical="center"/>
    </xf>
    <xf numFmtId="171" fontId="81" fillId="0" borderId="14" xfId="308" applyFont="1" applyFill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/>
    </xf>
    <xf numFmtId="171" fontId="81" fillId="0" borderId="18" xfId="308" applyFont="1" applyFill="1" applyBorder="1" applyAlignment="1">
      <alignment vertical="center"/>
    </xf>
    <xf numFmtId="2" fontId="81" fillId="0" borderId="19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0" xfId="0" applyFont="1" applyBorder="1" applyAlignment="1">
      <alignment vertical="center"/>
    </xf>
    <xf numFmtId="0" fontId="81" fillId="0" borderId="14" xfId="0" applyFont="1" applyBorder="1" applyAlignment="1">
      <alignment horizontal="center"/>
    </xf>
    <xf numFmtId="2" fontId="81" fillId="0" borderId="14" xfId="0" applyNumberFormat="1" applyFont="1" applyBorder="1" applyAlignment="1">
      <alignment horizontal="center"/>
    </xf>
    <xf numFmtId="2" fontId="81" fillId="0" borderId="11" xfId="0" applyNumberFormat="1" applyFont="1" applyBorder="1" applyAlignment="1">
      <alignment horizontal="center"/>
    </xf>
    <xf numFmtId="171" fontId="21" fillId="0" borderId="13" xfId="308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4" fontId="82" fillId="36" borderId="21" xfId="0" applyNumberFormat="1" applyFont="1" applyFill="1" applyBorder="1" applyAlignment="1">
      <alignment horizontal="right" vertical="top" wrapText="1"/>
    </xf>
    <xf numFmtId="0" fontId="83" fillId="34" borderId="0" xfId="0" applyFont="1" applyFill="1" applyBorder="1" applyAlignment="1">
      <alignment vertical="top" wrapText="1"/>
    </xf>
    <xf numFmtId="2" fontId="83" fillId="34" borderId="0" xfId="0" applyNumberFormat="1" applyFont="1" applyFill="1" applyBorder="1" applyAlignment="1">
      <alignment horizontal="center" vertical="top" wrapText="1"/>
    </xf>
    <xf numFmtId="184" fontId="82" fillId="36" borderId="0" xfId="0" applyNumberFormat="1" applyFont="1" applyFill="1" applyBorder="1" applyAlignment="1">
      <alignment horizontal="right" vertical="top" wrapText="1"/>
    </xf>
    <xf numFmtId="0" fontId="82" fillId="34" borderId="0" xfId="0" applyFont="1" applyFill="1" applyBorder="1" applyAlignment="1">
      <alignment vertical="top" wrapText="1"/>
    </xf>
    <xf numFmtId="2" fontId="82" fillId="34" borderId="0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justify"/>
    </xf>
    <xf numFmtId="0" fontId="79" fillId="34" borderId="0" xfId="0" applyFont="1" applyFill="1" applyBorder="1" applyAlignment="1">
      <alignment horizontal="right"/>
    </xf>
    <xf numFmtId="2" fontId="79" fillId="34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172" fontId="8" fillId="0" borderId="0" xfId="51" applyNumberFormat="1" applyFont="1" applyFill="1" applyBorder="1" applyAlignment="1">
      <alignment vertical="center" wrapText="1"/>
      <protection/>
    </xf>
    <xf numFmtId="172" fontId="12" fillId="0" borderId="0" xfId="51" applyNumberFormat="1" applyFont="1" applyFill="1" applyBorder="1" applyAlignment="1">
      <alignment vertical="center" wrapText="1"/>
      <protection/>
    </xf>
    <xf numFmtId="4" fontId="3" fillId="0" borderId="0" xfId="51" applyNumberFormat="1" applyFont="1" applyFill="1" applyBorder="1" applyAlignment="1">
      <alignment horizontal="right" vertic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10" fontId="3" fillId="0" borderId="0" xfId="51" applyNumberFormat="1" applyFont="1" applyFill="1" applyBorder="1" applyAlignment="1">
      <alignment horizontal="center" vertical="center" wrapText="1"/>
      <protection/>
    </xf>
    <xf numFmtId="172" fontId="12" fillId="37" borderId="0" xfId="51" applyNumberFormat="1" applyFont="1" applyFill="1" applyBorder="1" applyAlignment="1">
      <alignment vertical="center" wrapText="1"/>
      <protection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5" borderId="22" xfId="0" applyFill="1" applyBorder="1" applyAlignment="1">
      <alignment/>
    </xf>
    <xf numFmtId="2" fontId="79" fillId="35" borderId="23" xfId="0" applyNumberFormat="1" applyFont="1" applyFill="1" applyBorder="1" applyAlignment="1">
      <alignment horizontal="right"/>
    </xf>
    <xf numFmtId="2" fontId="79" fillId="35" borderId="23" xfId="0" applyNumberFormat="1" applyFont="1" applyFill="1" applyBorder="1" applyAlignment="1">
      <alignment horizontal="left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78" fillId="0" borderId="25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26" xfId="0" applyFont="1" applyBorder="1" applyAlignment="1">
      <alignment/>
    </xf>
    <xf numFmtId="43" fontId="0" fillId="0" borderId="0" xfId="0" applyNumberFormat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left" vertical="center" wrapText="1"/>
    </xf>
    <xf numFmtId="0" fontId="81" fillId="0" borderId="11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171" fontId="21" fillId="0" borderId="0" xfId="308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0" fontId="23" fillId="34" borderId="21" xfId="0" applyNumberFormat="1" applyFont="1" applyFill="1" applyBorder="1" applyAlignment="1" quotePrefix="1">
      <alignment horizontal="center" vertical="center" wrapText="1"/>
    </xf>
    <xf numFmtId="0" fontId="8" fillId="34" borderId="21" xfId="443" applyNumberFormat="1" applyFont="1" applyFill="1" applyBorder="1" applyAlignment="1">
      <alignment horizontal="center" vertical="center" wrapText="1"/>
    </xf>
    <xf numFmtId="4" fontId="23" fillId="34" borderId="27" xfId="0" applyNumberFormat="1" applyFont="1" applyFill="1" applyBorder="1" applyAlignment="1">
      <alignment horizontal="right" vertical="center"/>
    </xf>
    <xf numFmtId="0" fontId="23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right" vertical="center"/>
    </xf>
    <xf numFmtId="4" fontId="8" fillId="34" borderId="21" xfId="443" applyNumberFormat="1" applyFont="1" applyFill="1" applyBorder="1" applyAlignment="1">
      <alignment horizontal="right" vertical="center"/>
    </xf>
    <xf numFmtId="4" fontId="23" fillId="34" borderId="17" xfId="0" applyNumberFormat="1" applyFont="1" applyFill="1" applyBorder="1" applyAlignment="1">
      <alignment horizontal="center" vertical="center"/>
    </xf>
    <xf numFmtId="10" fontId="22" fillId="34" borderId="21" xfId="0" applyNumberFormat="1" applyFont="1" applyFill="1" applyBorder="1" applyAlignment="1">
      <alignment horizontal="center" vertical="center"/>
    </xf>
    <xf numFmtId="0" fontId="23" fillId="34" borderId="21" xfId="0" applyNumberFormat="1" applyFont="1" applyFill="1" applyBorder="1" applyAlignment="1">
      <alignment horizontal="left" vertical="center" wrapText="1"/>
    </xf>
    <xf numFmtId="4" fontId="22" fillId="34" borderId="21" xfId="0" applyNumberFormat="1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vertical="center"/>
    </xf>
    <xf numFmtId="4" fontId="23" fillId="34" borderId="21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171" fontId="8" fillId="34" borderId="21" xfId="443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71" fontId="8" fillId="0" borderId="21" xfId="443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/>
    </xf>
    <xf numFmtId="43" fontId="14" fillId="0" borderId="21" xfId="443" applyNumberFormat="1" applyFont="1" applyFill="1" applyBorder="1" applyAlignment="1">
      <alignment horizontal="left" vertical="center"/>
    </xf>
    <xf numFmtId="10" fontId="14" fillId="0" borderId="21" xfId="0" applyNumberFormat="1" applyFont="1" applyFill="1" applyBorder="1" applyAlignment="1">
      <alignment vertical="center"/>
    </xf>
    <xf numFmtId="0" fontId="23" fillId="34" borderId="15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 quotePrefix="1">
      <alignment horizontal="center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22" fillId="34" borderId="17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4" fontId="8" fillId="34" borderId="27" xfId="443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4" fontId="8" fillId="0" borderId="21" xfId="443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right" vertical="center"/>
    </xf>
    <xf numFmtId="0" fontId="23" fillId="34" borderId="27" xfId="0" applyNumberFormat="1" applyFont="1" applyFill="1" applyBorder="1" applyAlignment="1" quotePrefix="1">
      <alignment horizontal="center" vertical="center" wrapText="1"/>
    </xf>
    <xf numFmtId="0" fontId="23" fillId="34" borderId="27" xfId="0" applyNumberFormat="1" applyFont="1" applyFill="1" applyBorder="1" applyAlignment="1">
      <alignment horizontal="center" vertical="center" wrapText="1"/>
    </xf>
    <xf numFmtId="0" fontId="8" fillId="34" borderId="21" xfId="433" applyNumberFormat="1" applyFont="1" applyFill="1" applyBorder="1" applyAlignment="1">
      <alignment horizontal="left" vertical="center" wrapText="1"/>
    </xf>
    <xf numFmtId="0" fontId="8" fillId="0" borderId="21" xfId="433" applyNumberFormat="1" applyFont="1" applyFill="1" applyBorder="1" applyAlignment="1">
      <alignment horizontal="center" vertical="center" wrapText="1"/>
    </xf>
    <xf numFmtId="0" fontId="8" fillId="34" borderId="21" xfId="433" applyNumberFormat="1" applyFont="1" applyFill="1" applyBorder="1" applyAlignment="1">
      <alignment horizontal="center" vertical="center" wrapText="1"/>
    </xf>
    <xf numFmtId="4" fontId="23" fillId="34" borderId="15" xfId="0" applyNumberFormat="1" applyFont="1" applyFill="1" applyBorder="1" applyAlignment="1">
      <alignment horizontal="right" vertical="center"/>
    </xf>
    <xf numFmtId="171" fontId="8" fillId="34" borderId="21" xfId="443" applyFont="1" applyFill="1" applyBorder="1" applyAlignment="1">
      <alignment vertical="center"/>
    </xf>
    <xf numFmtId="0" fontId="8" fillId="34" borderId="21" xfId="443" applyNumberFormat="1" applyFont="1" applyFill="1" applyBorder="1" applyAlignment="1">
      <alignment horizontal="left" vertical="center" wrapText="1"/>
    </xf>
    <xf numFmtId="4" fontId="22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443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4" borderId="11" xfId="443" applyNumberFormat="1" applyFont="1" applyFill="1" applyBorder="1" applyAlignment="1">
      <alignment horizontal="right" vertical="center"/>
    </xf>
    <xf numFmtId="4" fontId="8" fillId="0" borderId="11" xfId="443" applyNumberFormat="1" applyFont="1" applyFill="1" applyBorder="1" applyAlignment="1">
      <alignment horizontal="right" vertical="center"/>
    </xf>
    <xf numFmtId="4" fontId="8" fillId="0" borderId="16" xfId="443" applyNumberFormat="1" applyFont="1" applyFill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right" vertical="center"/>
    </xf>
    <xf numFmtId="4" fontId="8" fillId="34" borderId="0" xfId="443" applyNumberFormat="1" applyFont="1" applyFill="1" applyBorder="1" applyAlignment="1">
      <alignment horizontal="right" vertical="center"/>
    </xf>
    <xf numFmtId="4" fontId="14" fillId="34" borderId="0" xfId="443" applyNumberFormat="1" applyFont="1" applyFill="1" applyBorder="1" applyAlignment="1">
      <alignment horizontal="right" vertical="center"/>
    </xf>
    <xf numFmtId="10" fontId="14" fillId="34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34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6" fillId="34" borderId="0" xfId="194" applyFont="1" applyFill="1" applyAlignment="1">
      <alignment vertical="center"/>
      <protection/>
    </xf>
    <xf numFmtId="0" fontId="81" fillId="0" borderId="14" xfId="0" applyFont="1" applyFill="1" applyBorder="1" applyAlignment="1">
      <alignment wrapText="1"/>
    </xf>
    <xf numFmtId="171" fontId="21" fillId="0" borderId="19" xfId="308" applyFont="1" applyFill="1" applyBorder="1" applyAlignment="1">
      <alignment horizontal="center" vertical="center"/>
    </xf>
    <xf numFmtId="2" fontId="81" fillId="0" borderId="14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 quotePrefix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2" fontId="80" fillId="0" borderId="19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 wrapText="1"/>
    </xf>
    <xf numFmtId="171" fontId="81" fillId="0" borderId="0" xfId="308" applyFont="1" applyFill="1" applyBorder="1" applyAlignment="1">
      <alignment horizontal="center" vertical="center"/>
    </xf>
    <xf numFmtId="171" fontId="81" fillId="0" borderId="0" xfId="308" applyFont="1" applyFill="1" applyBorder="1" applyAlignment="1">
      <alignment horizontal="center" vertical="center" wrapText="1"/>
    </xf>
    <xf numFmtId="171" fontId="81" fillId="0" borderId="19" xfId="308" applyFont="1" applyFill="1" applyBorder="1" applyAlignment="1">
      <alignment vertical="center"/>
    </xf>
    <xf numFmtId="0" fontId="81" fillId="0" borderId="11" xfId="0" applyFont="1" applyFill="1" applyBorder="1" applyAlignment="1">
      <alignment wrapText="1"/>
    </xf>
    <xf numFmtId="0" fontId="81" fillId="0" borderId="14" xfId="0" applyFont="1" applyFill="1" applyBorder="1" applyAlignment="1">
      <alignment vertical="center" wrapText="1"/>
    </xf>
    <xf numFmtId="2" fontId="80" fillId="0" borderId="20" xfId="0" applyNumberFormat="1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171" fontId="20" fillId="0" borderId="10" xfId="308" applyFont="1" applyFill="1" applyBorder="1" applyAlignment="1">
      <alignment horizontal="left" vertical="center" wrapText="1"/>
    </xf>
    <xf numFmtId="4" fontId="8" fillId="34" borderId="21" xfId="0" applyNumberFormat="1" applyFont="1" applyFill="1" applyBorder="1" applyAlignment="1">
      <alignment horizontal="right" vertical="center" wrapText="1"/>
    </xf>
    <xf numFmtId="171" fontId="20" fillId="0" borderId="12" xfId="308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172" fontId="3" fillId="0" borderId="17" xfId="52" applyNumberFormat="1" applyFont="1" applyFill="1" applyBorder="1" applyAlignment="1">
      <alignment vertical="center" wrapText="1"/>
      <protection/>
    </xf>
    <xf numFmtId="172" fontId="3" fillId="34" borderId="0" xfId="52" applyNumberFormat="1" applyFont="1" applyFill="1" applyBorder="1" applyAlignment="1">
      <alignment horizontal="left" vertical="center" wrapText="1"/>
      <protection/>
    </xf>
    <xf numFmtId="172" fontId="14" fillId="34" borderId="0" xfId="52" applyNumberFormat="1" applyFont="1" applyFill="1" applyBorder="1" applyAlignment="1">
      <alignment horizontal="left" vertical="center" wrapText="1"/>
      <protection/>
    </xf>
    <xf numFmtId="172" fontId="3" fillId="0" borderId="11" xfId="52" applyNumberFormat="1" applyFont="1" applyFill="1" applyBorder="1" applyAlignment="1">
      <alignment vertical="center" wrapText="1"/>
      <protection/>
    </xf>
    <xf numFmtId="172" fontId="3" fillId="34" borderId="11" xfId="52" applyNumberFormat="1" applyFont="1" applyFill="1" applyBorder="1" applyAlignment="1">
      <alignment vertical="center" wrapText="1"/>
      <protection/>
    </xf>
    <xf numFmtId="0" fontId="6" fillId="34" borderId="0" xfId="0" applyFont="1" applyFill="1" applyAlignment="1">
      <alignment vertical="center" wrapText="1"/>
    </xf>
    <xf numFmtId="0" fontId="16" fillId="0" borderId="11" xfId="52" applyNumberFormat="1" applyFont="1" applyFill="1" applyBorder="1" applyAlignment="1">
      <alignment vertical="center" wrapText="1"/>
      <protection/>
    </xf>
    <xf numFmtId="2" fontId="85" fillId="38" borderId="0" xfId="0" applyNumberFormat="1" applyFont="1" applyFill="1" applyBorder="1" applyAlignment="1">
      <alignment vertical="center" wrapText="1"/>
    </xf>
    <xf numFmtId="0" fontId="85" fillId="38" borderId="0" xfId="0" applyFont="1" applyFill="1" applyBorder="1" applyAlignment="1">
      <alignment vertical="center" wrapText="1"/>
    </xf>
    <xf numFmtId="0" fontId="85" fillId="38" borderId="0" xfId="0" applyFont="1" applyFill="1" applyBorder="1" applyAlignment="1">
      <alignment horizontal="right" vertical="center"/>
    </xf>
    <xf numFmtId="0" fontId="85" fillId="38" borderId="19" xfId="0" applyFont="1" applyFill="1" applyBorder="1" applyAlignment="1">
      <alignment horizontal="center" vertical="center"/>
    </xf>
    <xf numFmtId="0" fontId="86" fillId="39" borderId="12" xfId="0" applyFont="1" applyFill="1" applyBorder="1" applyAlignment="1">
      <alignment horizontal="center" vertical="center" wrapText="1"/>
    </xf>
    <xf numFmtId="0" fontId="86" fillId="39" borderId="0" xfId="0" applyFont="1" applyFill="1" applyBorder="1" applyAlignment="1">
      <alignment horizontal="center" vertical="center" wrapText="1"/>
    </xf>
    <xf numFmtId="0" fontId="86" fillId="39" borderId="19" xfId="0" applyFont="1" applyFill="1" applyBorder="1" applyAlignment="1">
      <alignment horizontal="center" vertical="center" wrapText="1"/>
    </xf>
    <xf numFmtId="2" fontId="87" fillId="0" borderId="0" xfId="0" applyNumberFormat="1" applyFont="1" applyBorder="1" applyAlignment="1">
      <alignment horizontal="right" vertical="center" wrapText="1"/>
    </xf>
    <xf numFmtId="2" fontId="87" fillId="0" borderId="19" xfId="0" applyNumberFormat="1" applyFont="1" applyBorder="1" applyAlignment="1">
      <alignment horizontal="right" vertical="center" wrapText="1"/>
    </xf>
    <xf numFmtId="2" fontId="85" fillId="0" borderId="19" xfId="0" applyNumberFormat="1" applyFont="1" applyBorder="1" applyAlignment="1">
      <alignment horizontal="right" vertical="center" wrapText="1"/>
    </xf>
    <xf numFmtId="2" fontId="87" fillId="38" borderId="19" xfId="0" applyNumberFormat="1" applyFont="1" applyFill="1" applyBorder="1" applyAlignment="1">
      <alignment horizontal="right" vertical="center" wrapText="1"/>
    </xf>
    <xf numFmtId="2" fontId="85" fillId="38" borderId="20" xfId="0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43" fontId="6" fillId="34" borderId="0" xfId="0" applyNumberFormat="1" applyFont="1" applyFill="1" applyAlignment="1">
      <alignment horizontal="center" vertical="center" wrapText="1"/>
    </xf>
    <xf numFmtId="171" fontId="6" fillId="34" borderId="0" xfId="444" applyFont="1" applyFill="1" applyAlignment="1">
      <alignment vertical="center" wrapText="1"/>
    </xf>
    <xf numFmtId="0" fontId="6" fillId="40" borderId="0" xfId="0" applyFont="1" applyFill="1" applyAlignment="1">
      <alignment horizontal="center" vertical="center" wrapText="1"/>
    </xf>
    <xf numFmtId="43" fontId="6" fillId="36" borderId="0" xfId="0" applyNumberFormat="1" applyFont="1" applyFill="1" applyAlignment="1">
      <alignment horizontal="center" vertical="center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8" fillId="34" borderId="21" xfId="443" applyNumberFormat="1" applyFont="1" applyFill="1" applyBorder="1" applyAlignment="1">
      <alignment vertical="center" wrapText="1"/>
    </xf>
    <xf numFmtId="0" fontId="23" fillId="34" borderId="15" xfId="0" applyNumberFormat="1" applyFont="1" applyFill="1" applyBorder="1" applyAlignment="1">
      <alignment horizontal="left" vertical="center" wrapText="1"/>
    </xf>
    <xf numFmtId="4" fontId="8" fillId="34" borderId="16" xfId="443" applyNumberFormat="1" applyFont="1" applyFill="1" applyBorder="1" applyAlignment="1">
      <alignment horizontal="right" vertical="center"/>
    </xf>
    <xf numFmtId="4" fontId="8" fillId="34" borderId="21" xfId="432" applyNumberFormat="1" applyFont="1" applyFill="1" applyBorder="1" applyAlignment="1">
      <alignment horizontal="center" vertical="center"/>
    </xf>
    <xf numFmtId="0" fontId="8" fillId="34" borderId="21" xfId="444" applyNumberFormat="1" applyFont="1" applyFill="1" applyBorder="1" applyAlignment="1">
      <alignment vertical="center" wrapText="1"/>
    </xf>
    <xf numFmtId="9" fontId="0" fillId="0" borderId="0" xfId="301" applyFont="1" applyAlignment="1">
      <alignment/>
    </xf>
    <xf numFmtId="0" fontId="0" fillId="0" borderId="0" xfId="227" applyFont="1">
      <alignment/>
      <protection/>
    </xf>
    <xf numFmtId="0" fontId="0" fillId="0" borderId="28" xfId="227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/>
      <protection/>
    </xf>
    <xf numFmtId="2" fontId="0" fillId="0" borderId="29" xfId="227" applyNumberFormat="1" applyFont="1" applyBorder="1" applyAlignment="1">
      <alignment horizontal="center"/>
      <protection/>
    </xf>
    <xf numFmtId="0" fontId="0" fillId="0" borderId="30" xfId="227" applyFont="1" applyBorder="1" applyAlignment="1">
      <alignment horizontal="center"/>
      <protection/>
    </xf>
    <xf numFmtId="2" fontId="0" fillId="0" borderId="31" xfId="227" applyNumberFormat="1" applyFont="1" applyBorder="1" applyAlignment="1">
      <alignment horizontal="center"/>
      <protection/>
    </xf>
    <xf numFmtId="2" fontId="0" fillId="0" borderId="32" xfId="227" applyNumberFormat="1" applyFont="1" applyBorder="1" applyAlignment="1">
      <alignment horizontal="center"/>
      <protection/>
    </xf>
    <xf numFmtId="0" fontId="77" fillId="0" borderId="33" xfId="227" applyFont="1" applyBorder="1" applyAlignment="1">
      <alignment horizontal="center"/>
      <protection/>
    </xf>
    <xf numFmtId="2" fontId="77" fillId="0" borderId="34" xfId="227" applyNumberFormat="1" applyFont="1" applyBorder="1" applyAlignment="1">
      <alignment horizontal="center"/>
      <protection/>
    </xf>
    <xf numFmtId="2" fontId="77" fillId="0" borderId="35" xfId="227" applyNumberFormat="1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 vertical="center"/>
      <protection/>
    </xf>
    <xf numFmtId="2" fontId="0" fillId="0" borderId="29" xfId="227" applyNumberFormat="1" applyFont="1" applyBorder="1" applyAlignment="1">
      <alignment horizontal="center" vertical="center"/>
      <protection/>
    </xf>
    <xf numFmtId="0" fontId="77" fillId="0" borderId="36" xfId="227" applyFont="1" applyBorder="1" applyAlignment="1">
      <alignment horizontal="center"/>
      <protection/>
    </xf>
    <xf numFmtId="2" fontId="77" fillId="0" borderId="37" xfId="227" applyNumberFormat="1" applyFont="1" applyBorder="1" applyAlignment="1">
      <alignment horizontal="center"/>
      <protection/>
    </xf>
    <xf numFmtId="2" fontId="77" fillId="0" borderId="38" xfId="227" applyNumberFormat="1" applyFont="1" applyBorder="1" applyAlignment="1">
      <alignment horizontal="center"/>
      <protection/>
    </xf>
    <xf numFmtId="0" fontId="53" fillId="0" borderId="14" xfId="227" applyFont="1" applyFill="1" applyBorder="1" applyAlignment="1">
      <alignment horizontal="center" vertical="center"/>
      <protection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182" fontId="87" fillId="0" borderId="0" xfId="0" applyNumberFormat="1" applyFont="1" applyBorder="1" applyAlignment="1">
      <alignment horizontal="right" vertical="center" wrapText="1"/>
    </xf>
    <xf numFmtId="0" fontId="8" fillId="34" borderId="27" xfId="433" applyNumberFormat="1" applyFont="1" applyFill="1" applyBorder="1" applyAlignment="1">
      <alignment horizontal="center" vertical="center" wrapText="1"/>
    </xf>
    <xf numFmtId="0" fontId="8" fillId="34" borderId="13" xfId="444" applyNumberFormat="1" applyFont="1" applyFill="1" applyBorder="1" applyAlignment="1">
      <alignment vertical="center" wrapText="1"/>
    </xf>
    <xf numFmtId="0" fontId="8" fillId="34" borderId="13" xfId="443" applyNumberFormat="1" applyFont="1" applyFill="1" applyBorder="1" applyAlignment="1">
      <alignment horizontal="center" vertical="center" wrapText="1"/>
    </xf>
    <xf numFmtId="4" fontId="8" fillId="34" borderId="21" xfId="443" applyNumberFormat="1" applyFont="1" applyFill="1" applyBorder="1" applyAlignment="1">
      <alignment horizontal="right" vertical="center" wrapText="1"/>
    </xf>
    <xf numFmtId="4" fontId="8" fillId="34" borderId="21" xfId="0" applyNumberFormat="1" applyFont="1" applyFill="1" applyBorder="1" applyAlignment="1">
      <alignment vertical="center" wrapText="1"/>
    </xf>
    <xf numFmtId="4" fontId="8" fillId="34" borderId="21" xfId="443" applyNumberFormat="1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 wrapText="1"/>
    </xf>
    <xf numFmtId="4" fontId="8" fillId="34" borderId="2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8" fillId="0" borderId="21" xfId="443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/>
    </xf>
    <xf numFmtId="4" fontId="23" fillId="0" borderId="27" xfId="0" applyNumberFormat="1" applyFont="1" applyFill="1" applyBorder="1" applyAlignment="1">
      <alignment horizontal="right" vertical="center"/>
    </xf>
    <xf numFmtId="4" fontId="8" fillId="0" borderId="21" xfId="432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4" fontId="8" fillId="0" borderId="27" xfId="443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center" vertical="center"/>
    </xf>
    <xf numFmtId="10" fontId="22" fillId="0" borderId="27" xfId="0" applyNumberFormat="1" applyFont="1" applyFill="1" applyBorder="1" applyAlignment="1">
      <alignment horizontal="center" vertical="center"/>
    </xf>
    <xf numFmtId="171" fontId="21" fillId="35" borderId="15" xfId="308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wrapText="1"/>
    </xf>
    <xf numFmtId="0" fontId="81" fillId="0" borderId="13" xfId="0" applyFont="1" applyFill="1" applyBorder="1" applyAlignment="1">
      <alignment wrapText="1"/>
    </xf>
    <xf numFmtId="0" fontId="81" fillId="0" borderId="12" xfId="0" applyFont="1" applyBorder="1" applyAlignment="1">
      <alignment horizontal="center" wrapText="1"/>
    </xf>
    <xf numFmtId="171" fontId="81" fillId="0" borderId="19" xfId="308" applyFont="1" applyFill="1" applyBorder="1" applyAlignment="1">
      <alignment horizontal="center" vertical="center"/>
    </xf>
    <xf numFmtId="2" fontId="81" fillId="0" borderId="18" xfId="0" applyNumberFormat="1" applyFont="1" applyBorder="1" applyAlignment="1">
      <alignment horizontal="center" vertical="center"/>
    </xf>
    <xf numFmtId="2" fontId="81" fillId="0" borderId="14" xfId="0" applyNumberFormat="1" applyFont="1" applyBorder="1" applyAlignment="1">
      <alignment horizontal="left" vertical="center"/>
    </xf>
    <xf numFmtId="0" fontId="80" fillId="0" borderId="11" xfId="0" applyFont="1" applyBorder="1" applyAlignment="1">
      <alignment/>
    </xf>
    <xf numFmtId="171" fontId="8" fillId="34" borderId="27" xfId="443" applyFont="1" applyFill="1" applyBorder="1" applyAlignment="1">
      <alignment vertical="center"/>
    </xf>
    <xf numFmtId="0" fontId="8" fillId="34" borderId="27" xfId="444" applyNumberFormat="1" applyFont="1" applyFill="1" applyBorder="1" applyAlignment="1">
      <alignment vertical="center" wrapText="1"/>
    </xf>
    <xf numFmtId="0" fontId="8" fillId="34" borderId="27" xfId="444" applyNumberFormat="1" applyFont="1" applyFill="1" applyBorder="1" applyAlignment="1">
      <alignment horizontal="center" vertical="center" wrapText="1"/>
    </xf>
    <xf numFmtId="0" fontId="8" fillId="34" borderId="21" xfId="444" applyNumberFormat="1" applyFont="1" applyFill="1" applyBorder="1" applyAlignment="1">
      <alignment horizontal="center" vertical="center" wrapText="1"/>
    </xf>
    <xf numFmtId="0" fontId="8" fillId="34" borderId="31" xfId="444" applyNumberFormat="1" applyFont="1" applyFill="1" applyBorder="1" applyAlignment="1">
      <alignment vertical="center" wrapText="1"/>
    </xf>
    <xf numFmtId="0" fontId="8" fillId="34" borderId="31" xfId="444" applyNumberFormat="1" applyFont="1" applyFill="1" applyBorder="1" applyAlignment="1">
      <alignment horizontal="center" vertical="center" wrapText="1"/>
    </xf>
    <xf numFmtId="0" fontId="8" fillId="0" borderId="31" xfId="444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0" fontId="8" fillId="34" borderId="21" xfId="444" applyNumberFormat="1" applyFont="1" applyFill="1" applyBorder="1" applyAlignment="1">
      <alignment wrapText="1"/>
    </xf>
    <xf numFmtId="4" fontId="8" fillId="34" borderId="21" xfId="444" applyNumberFormat="1" applyFont="1" applyFill="1" applyBorder="1" applyAlignment="1">
      <alignment horizontal="right" vertical="center"/>
    </xf>
    <xf numFmtId="0" fontId="81" fillId="0" borderId="11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/>
    </xf>
    <xf numFmtId="0" fontId="8" fillId="0" borderId="13" xfId="444" applyNumberFormat="1" applyFont="1" applyFill="1" applyBorder="1" applyAlignment="1">
      <alignment vertical="center" wrapText="1"/>
    </xf>
    <xf numFmtId="0" fontId="8" fillId="0" borderId="27" xfId="433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4" fontId="23" fillId="34" borderId="21" xfId="0" applyNumberFormat="1" applyFont="1" applyFill="1" applyBorder="1" applyAlignment="1" quotePrefix="1">
      <alignment horizontal="right" vertical="center"/>
    </xf>
    <xf numFmtId="4" fontId="23" fillId="34" borderId="27" xfId="0" applyNumberFormat="1" applyFont="1" applyFill="1" applyBorder="1" applyAlignment="1">
      <alignment horizontal="center" vertical="center"/>
    </xf>
    <xf numFmtId="10" fontId="22" fillId="34" borderId="27" xfId="0" applyNumberFormat="1" applyFont="1" applyFill="1" applyBorder="1" applyAlignment="1">
      <alignment horizontal="center" vertical="center"/>
    </xf>
    <xf numFmtId="0" fontId="16" fillId="0" borderId="0" xfId="52" applyNumberFormat="1" applyFont="1" applyFill="1" applyBorder="1" applyAlignment="1">
      <alignment vertical="center" wrapText="1"/>
      <protection/>
    </xf>
    <xf numFmtId="4" fontId="24" fillId="34" borderId="0" xfId="443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left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1" fillId="0" borderId="11" xfId="0" applyNumberFormat="1" applyFont="1" applyBorder="1" applyAlignment="1">
      <alignment horizontal="left" vertical="center"/>
    </xf>
    <xf numFmtId="171" fontId="20" fillId="0" borderId="13" xfId="308" applyFont="1" applyFill="1" applyBorder="1" applyAlignment="1">
      <alignment horizontal="left" vertical="center" wrapText="1"/>
    </xf>
    <xf numFmtId="171" fontId="21" fillId="16" borderId="10" xfId="308" applyFont="1" applyFill="1" applyBorder="1" applyAlignment="1">
      <alignment horizontal="left" vertical="center" wrapText="1"/>
    </xf>
    <xf numFmtId="171" fontId="21" fillId="16" borderId="11" xfId="308" applyFont="1" applyFill="1" applyBorder="1" applyAlignment="1">
      <alignment horizontal="left" vertical="center" wrapText="1"/>
    </xf>
    <xf numFmtId="0" fontId="81" fillId="16" borderId="11" xfId="0" applyFont="1" applyFill="1" applyBorder="1" applyAlignment="1">
      <alignment horizontal="center" vertical="center"/>
    </xf>
    <xf numFmtId="0" fontId="81" fillId="16" borderId="11" xfId="0" applyFont="1" applyFill="1" applyBorder="1" applyAlignment="1">
      <alignment/>
    </xf>
    <xf numFmtId="0" fontId="81" fillId="16" borderId="18" xfId="0" applyFont="1" applyFill="1" applyBorder="1" applyAlignment="1">
      <alignment/>
    </xf>
    <xf numFmtId="171" fontId="21" fillId="16" borderId="15" xfId="308" applyFont="1" applyFill="1" applyBorder="1" applyAlignment="1">
      <alignment horizontal="left" vertical="center" wrapText="1"/>
    </xf>
    <xf numFmtId="171" fontId="21" fillId="16" borderId="16" xfId="308" applyFont="1" applyFill="1" applyBorder="1" applyAlignment="1">
      <alignment horizontal="left" vertical="center" wrapText="1"/>
    </xf>
    <xf numFmtId="171" fontId="21" fillId="16" borderId="16" xfId="308" applyFont="1" applyFill="1" applyBorder="1" applyAlignment="1">
      <alignment horizontal="center" vertical="center" wrapText="1"/>
    </xf>
    <xf numFmtId="171" fontId="21" fillId="16" borderId="16" xfId="308" applyFont="1" applyFill="1" applyBorder="1" applyAlignment="1">
      <alignment horizontal="center" vertical="center"/>
    </xf>
    <xf numFmtId="2" fontId="80" fillId="16" borderId="17" xfId="0" applyNumberFormat="1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 vertical="center" wrapText="1"/>
    </xf>
    <xf numFmtId="171" fontId="81" fillId="16" borderId="16" xfId="308" applyFont="1" applyFill="1" applyBorder="1" applyAlignment="1">
      <alignment horizontal="left" vertical="center" wrapText="1"/>
    </xf>
    <xf numFmtId="171" fontId="81" fillId="16" borderId="16" xfId="308" applyFont="1" applyFill="1" applyBorder="1" applyAlignment="1">
      <alignment horizontal="center" vertical="center"/>
    </xf>
    <xf numFmtId="2" fontId="81" fillId="16" borderId="16" xfId="0" applyNumberFormat="1" applyFont="1" applyFill="1" applyBorder="1" applyAlignment="1">
      <alignment horizontal="center" vertical="center"/>
    </xf>
    <xf numFmtId="0" fontId="80" fillId="16" borderId="15" xfId="0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/>
    </xf>
    <xf numFmtId="2" fontId="81" fillId="0" borderId="11" xfId="0" applyNumberFormat="1" applyFont="1" applyFill="1" applyBorder="1" applyAlignment="1">
      <alignment horizontal="center" vertical="center"/>
    </xf>
    <xf numFmtId="2" fontId="80" fillId="0" borderId="18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2" fontId="81" fillId="0" borderId="19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wrapText="1"/>
    </xf>
    <xf numFmtId="171" fontId="20" fillId="0" borderId="11" xfId="308" applyFont="1" applyFill="1" applyBorder="1" applyAlignment="1">
      <alignment horizontal="center" vertical="center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184" fontId="87" fillId="0" borderId="0" xfId="0" applyNumberFormat="1" applyFont="1" applyBorder="1" applyAlignment="1">
      <alignment horizontal="right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 horizontal="center" vertical="center"/>
    </xf>
    <xf numFmtId="4" fontId="8" fillId="0" borderId="21" xfId="444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horizontal="left" vertical="center" wrapText="1"/>
    </xf>
    <xf numFmtId="0" fontId="8" fillId="0" borderId="31" xfId="443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 quotePrefix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8" fillId="0" borderId="21" xfId="443" applyNumberFormat="1" applyFont="1" applyFill="1" applyBorder="1" applyAlignment="1">
      <alignment vertical="center" wrapText="1"/>
    </xf>
    <xf numFmtId="4" fontId="23" fillId="0" borderId="31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vertical="center"/>
    </xf>
    <xf numFmtId="4" fontId="23" fillId="0" borderId="39" xfId="0" applyNumberFormat="1" applyFont="1" applyFill="1" applyBorder="1" applyAlignment="1">
      <alignment horizontal="right" vertical="center"/>
    </xf>
    <xf numFmtId="171" fontId="8" fillId="0" borderId="21" xfId="370" applyFont="1" applyFill="1" applyBorder="1" applyAlignment="1">
      <alignment vertical="center"/>
    </xf>
    <xf numFmtId="0" fontId="23" fillId="0" borderId="39" xfId="0" applyNumberFormat="1" applyFont="1" applyFill="1" applyBorder="1" applyAlignment="1">
      <alignment horizontal="center" vertical="center" wrapText="1"/>
    </xf>
    <xf numFmtId="0" fontId="8" fillId="0" borderId="21" xfId="444" applyNumberFormat="1" applyFont="1" applyFill="1" applyBorder="1" applyAlignment="1">
      <alignment vertical="center" wrapText="1"/>
    </xf>
    <xf numFmtId="2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7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quotePrefix="1">
      <alignment horizontal="center" vertical="center" wrapText="1"/>
    </xf>
    <xf numFmtId="4" fontId="23" fillId="0" borderId="27" xfId="0" applyNumberFormat="1" applyFont="1" applyFill="1" applyBorder="1" applyAlignment="1">
      <alignment horizontal="center" vertical="center"/>
    </xf>
    <xf numFmtId="0" fontId="8" fillId="0" borderId="21" xfId="433" applyNumberFormat="1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171" fontId="8" fillId="0" borderId="21" xfId="443" applyFont="1" applyFill="1" applyBorder="1" applyAlignment="1">
      <alignment vertical="center"/>
    </xf>
    <xf numFmtId="10" fontId="22" fillId="0" borderId="31" xfId="0" applyNumberFormat="1" applyFont="1" applyFill="1" applyBorder="1" applyAlignment="1">
      <alignment horizontal="center" vertical="center"/>
    </xf>
    <xf numFmtId="0" fontId="8" fillId="0" borderId="10" xfId="433" applyNumberFormat="1" applyFont="1" applyFill="1" applyBorder="1" applyAlignment="1">
      <alignment horizontal="left" vertical="center" wrapText="1"/>
    </xf>
    <xf numFmtId="4" fontId="8" fillId="0" borderId="27" xfId="443" applyNumberFormat="1" applyFont="1" applyFill="1" applyBorder="1" applyAlignment="1">
      <alignment horizontal="right" vertical="center" wrapText="1"/>
    </xf>
    <xf numFmtId="4" fontId="8" fillId="0" borderId="21" xfId="443" applyNumberFormat="1" applyFont="1" applyFill="1" applyBorder="1" applyAlignment="1">
      <alignment horizontal="right" vertical="center" wrapText="1"/>
    </xf>
    <xf numFmtId="4" fontId="8" fillId="0" borderId="21" xfId="299" applyNumberFormat="1" applyFont="1" applyFill="1" applyBorder="1" applyAlignment="1">
      <alignment horizontal="right" vertical="center"/>
      <protection/>
    </xf>
    <xf numFmtId="0" fontId="8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 wrapText="1"/>
    </xf>
    <xf numFmtId="0" fontId="8" fillId="0" borderId="13" xfId="443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8" fillId="0" borderId="27" xfId="0" applyFont="1" applyFill="1" applyBorder="1" applyAlignment="1">
      <alignment horizontal="center" vertical="center"/>
    </xf>
    <xf numFmtId="171" fontId="8" fillId="0" borderId="27" xfId="443" applyFont="1" applyFill="1" applyBorder="1" applyAlignment="1" applyProtection="1">
      <alignment horizontal="center" vertical="center" wrapText="1"/>
      <protection/>
    </xf>
    <xf numFmtId="171" fontId="8" fillId="0" borderId="40" xfId="443" applyFont="1" applyFill="1" applyBorder="1" applyAlignment="1" applyProtection="1">
      <alignment horizontal="center" vertical="center" wrapText="1"/>
      <protection/>
    </xf>
    <xf numFmtId="43" fontId="88" fillId="0" borderId="27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left" vertical="center" wrapText="1"/>
    </xf>
    <xf numFmtId="197" fontId="88" fillId="0" borderId="21" xfId="0" applyNumberFormat="1" applyFont="1" applyFill="1" applyBorder="1" applyAlignment="1" quotePrefix="1">
      <alignment horizontal="center" vertical="center"/>
    </xf>
    <xf numFmtId="171" fontId="8" fillId="0" borderId="41" xfId="443" applyFont="1" applyFill="1" applyBorder="1" applyAlignment="1" applyProtection="1">
      <alignment horizontal="center" vertical="center" wrapText="1"/>
      <protection/>
    </xf>
    <xf numFmtId="43" fontId="88" fillId="0" borderId="21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center" vertical="center" wrapText="1"/>
    </xf>
    <xf numFmtId="171" fontId="8" fillId="0" borderId="21" xfId="443" applyFont="1" applyFill="1" applyBorder="1" applyAlignment="1" applyProtection="1">
      <alignment horizontal="center" vertical="center" wrapText="1"/>
      <protection/>
    </xf>
    <xf numFmtId="0" fontId="88" fillId="0" borderId="21" xfId="0" applyFont="1" applyFill="1" applyBorder="1" applyAlignment="1">
      <alignment horizontal="center" vertical="center"/>
    </xf>
    <xf numFmtId="1" fontId="88" fillId="0" borderId="21" xfId="0" applyNumberFormat="1" applyFont="1" applyFill="1" applyBorder="1" applyAlignment="1">
      <alignment horizontal="center" vertical="center" wrapText="1"/>
    </xf>
    <xf numFmtId="0" fontId="53" fillId="35" borderId="30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53" fillId="35" borderId="32" xfId="227" applyFont="1" applyFill="1" applyBorder="1" applyAlignment="1">
      <alignment horizontal="center" vertical="center"/>
      <protection/>
    </xf>
    <xf numFmtId="2" fontId="53" fillId="35" borderId="21" xfId="227" applyNumberFormat="1" applyFont="1" applyFill="1" applyBorder="1" applyAlignment="1">
      <alignment horizontal="center"/>
      <protection/>
    </xf>
    <xf numFmtId="2" fontId="53" fillId="35" borderId="29" xfId="227" applyNumberFormat="1" applyFont="1" applyFill="1" applyBorder="1" applyAlignment="1">
      <alignment horizontal="center"/>
      <protection/>
    </xf>
    <xf numFmtId="171" fontId="21" fillId="35" borderId="15" xfId="308" applyFont="1" applyFill="1" applyBorder="1" applyAlignment="1">
      <alignment vertical="center" wrapText="1"/>
    </xf>
    <xf numFmtId="171" fontId="21" fillId="35" borderId="16" xfId="308" applyFont="1" applyFill="1" applyBorder="1" applyAlignment="1">
      <alignment vertical="center"/>
    </xf>
    <xf numFmtId="193" fontId="9" fillId="0" borderId="42" xfId="301" applyNumberFormat="1" applyFont="1" applyFill="1" applyBorder="1" applyAlignment="1">
      <alignment horizontal="center" vertical="center"/>
    </xf>
    <xf numFmtId="193" fontId="9" fillId="0" borderId="43" xfId="301" applyNumberFormat="1" applyFont="1" applyFill="1" applyBorder="1" applyAlignment="1">
      <alignment horizontal="center" vertical="center"/>
    </xf>
    <xf numFmtId="193" fontId="9" fillId="0" borderId="44" xfId="301" applyNumberFormat="1" applyFont="1" applyFill="1" applyBorder="1" applyAlignment="1">
      <alignment horizontal="center" vertical="center"/>
    </xf>
    <xf numFmtId="43" fontId="9" fillId="0" borderId="42" xfId="432" applyNumberFormat="1" applyFont="1" applyFill="1" applyBorder="1" applyAlignment="1">
      <alignment horizontal="right" vertical="center"/>
    </xf>
    <xf numFmtId="43" fontId="9" fillId="0" borderId="43" xfId="432" applyNumberFormat="1" applyFont="1" applyFill="1" applyBorder="1" applyAlignment="1">
      <alignment horizontal="right" vertical="center"/>
    </xf>
    <xf numFmtId="43" fontId="9" fillId="0" borderId="44" xfId="432" applyNumberFormat="1" applyFont="1" applyFill="1" applyBorder="1" applyAlignment="1">
      <alignment horizontal="right" vertical="center"/>
    </xf>
    <xf numFmtId="0" fontId="11" fillId="0" borderId="42" xfId="296" applyFont="1" applyFill="1" applyBorder="1" applyAlignment="1">
      <alignment horizontal="center" vertical="center"/>
      <protection/>
    </xf>
    <xf numFmtId="0" fontId="11" fillId="0" borderId="43" xfId="296" applyFont="1" applyFill="1" applyBorder="1" applyAlignment="1">
      <alignment horizontal="center" vertical="center"/>
      <protection/>
    </xf>
    <xf numFmtId="0" fontId="11" fillId="0" borderId="44" xfId="296" applyFont="1" applyFill="1" applyBorder="1" applyAlignment="1">
      <alignment horizontal="center" vertical="center"/>
      <protection/>
    </xf>
    <xf numFmtId="0" fontId="11" fillId="0" borderId="42" xfId="296" applyFont="1" applyFill="1" applyBorder="1" applyAlignment="1">
      <alignment vertical="center"/>
      <protection/>
    </xf>
    <xf numFmtId="0" fontId="11" fillId="0" borderId="43" xfId="296" applyFont="1" applyFill="1" applyBorder="1" applyAlignment="1">
      <alignment vertical="center"/>
      <protection/>
    </xf>
    <xf numFmtId="0" fontId="11" fillId="0" borderId="43" xfId="296" applyFont="1" applyFill="1" applyBorder="1" applyAlignment="1">
      <alignment horizontal="left" vertical="center"/>
      <protection/>
    </xf>
    <xf numFmtId="0" fontId="11" fillId="0" borderId="43" xfId="296" applyNumberFormat="1" applyFont="1" applyFill="1" applyBorder="1" applyAlignment="1">
      <alignment vertical="center" wrapText="1"/>
      <protection/>
    </xf>
    <xf numFmtId="0" fontId="11" fillId="0" borderId="43" xfId="296" applyFont="1" applyFill="1" applyBorder="1" applyAlignment="1">
      <alignment vertical="center" wrapText="1"/>
      <protection/>
    </xf>
    <xf numFmtId="0" fontId="11" fillId="0" borderId="44" xfId="296" applyFont="1" applyFill="1" applyBorder="1" applyAlignment="1">
      <alignment vertical="center"/>
      <protection/>
    </xf>
    <xf numFmtId="43" fontId="9" fillId="0" borderId="45" xfId="432" applyNumberFormat="1" applyFont="1" applyFill="1" applyBorder="1" applyAlignment="1">
      <alignment horizontal="right" vertical="center"/>
    </xf>
    <xf numFmtId="43" fontId="9" fillId="0" borderId="46" xfId="432" applyNumberFormat="1" applyFont="1" applyFill="1" applyBorder="1" applyAlignment="1">
      <alignment horizontal="right" vertical="center"/>
    </xf>
    <xf numFmtId="43" fontId="9" fillId="0" borderId="28" xfId="432" applyNumberFormat="1" applyFont="1" applyFill="1" applyBorder="1" applyAlignment="1">
      <alignment horizontal="right" vertical="center"/>
    </xf>
    <xf numFmtId="43" fontId="9" fillId="0" borderId="29" xfId="432" applyNumberFormat="1" applyFont="1" applyFill="1" applyBorder="1" applyAlignment="1">
      <alignment horizontal="right" vertical="center"/>
    </xf>
    <xf numFmtId="43" fontId="9" fillId="0" borderId="36" xfId="432" applyNumberFormat="1" applyFont="1" applyFill="1" applyBorder="1" applyAlignment="1">
      <alignment horizontal="right" vertical="center"/>
    </xf>
    <xf numFmtId="43" fontId="9" fillId="0" borderId="38" xfId="432" applyNumberFormat="1" applyFont="1" applyFill="1" applyBorder="1" applyAlignment="1">
      <alignment horizontal="right" vertical="center"/>
    </xf>
    <xf numFmtId="43" fontId="9" fillId="0" borderId="45" xfId="432" applyNumberFormat="1" applyFont="1" applyFill="1" applyBorder="1" applyAlignment="1">
      <alignment horizontal="center" vertical="center"/>
    </xf>
    <xf numFmtId="43" fontId="9" fillId="0" borderId="28" xfId="432" applyNumberFormat="1" applyFont="1" applyFill="1" applyBorder="1" applyAlignment="1">
      <alignment horizontal="center" vertical="center"/>
    </xf>
    <xf numFmtId="43" fontId="9" fillId="0" borderId="36" xfId="432" applyNumberFormat="1" applyFont="1" applyFill="1" applyBorder="1" applyAlignment="1">
      <alignment horizontal="center" vertical="center"/>
    </xf>
    <xf numFmtId="43" fontId="9" fillId="0" borderId="42" xfId="296" applyNumberFormat="1" applyFont="1" applyFill="1" applyBorder="1" applyAlignment="1">
      <alignment horizontal="right" vertical="center"/>
      <protection/>
    </xf>
    <xf numFmtId="43" fontId="9" fillId="0" borderId="43" xfId="296" applyNumberFormat="1" applyFont="1" applyFill="1" applyBorder="1" applyAlignment="1">
      <alignment horizontal="right" vertical="center"/>
      <protection/>
    </xf>
    <xf numFmtId="43" fontId="9" fillId="0" borderId="44" xfId="296" applyNumberFormat="1" applyFont="1" applyFill="1" applyBorder="1" applyAlignment="1">
      <alignment horizontal="right" vertical="center"/>
      <protection/>
    </xf>
    <xf numFmtId="0" fontId="19" fillId="0" borderId="36" xfId="296" applyFont="1" applyFill="1" applyBorder="1" applyAlignment="1">
      <alignment horizontal="center" vertical="center" wrapText="1"/>
      <protection/>
    </xf>
    <xf numFmtId="0" fontId="19" fillId="0" borderId="38" xfId="296" applyFont="1" applyFill="1" applyBorder="1" applyAlignment="1">
      <alignment horizontal="center" vertical="center" wrapText="1"/>
      <protection/>
    </xf>
    <xf numFmtId="43" fontId="9" fillId="0" borderId="47" xfId="432" applyNumberFormat="1" applyFont="1" applyFill="1" applyBorder="1" applyAlignment="1">
      <alignment horizontal="right" vertical="center"/>
    </xf>
    <xf numFmtId="43" fontId="9" fillId="0" borderId="48" xfId="432" applyNumberFormat="1" applyFont="1" applyFill="1" applyBorder="1" applyAlignment="1">
      <alignment horizontal="right" vertical="center"/>
    </xf>
    <xf numFmtId="43" fontId="9" fillId="0" borderId="49" xfId="432" applyNumberFormat="1" applyFont="1" applyFill="1" applyBorder="1" applyAlignment="1">
      <alignment horizontal="right" vertical="center"/>
    </xf>
    <xf numFmtId="43" fontId="9" fillId="0" borderId="43" xfId="432" applyNumberFormat="1" applyFont="1" applyFill="1" applyBorder="1" applyAlignment="1">
      <alignment horizontal="center" vertical="center"/>
    </xf>
    <xf numFmtId="0" fontId="9" fillId="0" borderId="0" xfId="296" applyFont="1" applyFill="1" applyBorder="1" applyAlignment="1">
      <alignment vertical="center"/>
      <protection/>
    </xf>
    <xf numFmtId="0" fontId="11" fillId="35" borderId="50" xfId="296" applyFont="1" applyFill="1" applyBorder="1" applyAlignment="1">
      <alignment vertical="center"/>
      <protection/>
    </xf>
    <xf numFmtId="0" fontId="11" fillId="0" borderId="0" xfId="296" applyFont="1" applyFill="1" applyBorder="1" applyAlignment="1">
      <alignment vertical="center"/>
      <protection/>
    </xf>
    <xf numFmtId="0" fontId="9" fillId="0" borderId="0" xfId="296" applyFont="1" applyFill="1" applyBorder="1" applyAlignment="1">
      <alignment horizontal="center" vertical="center"/>
      <protection/>
    </xf>
    <xf numFmtId="0" fontId="9" fillId="35" borderId="50" xfId="296" applyFont="1" applyFill="1" applyBorder="1" applyAlignment="1">
      <alignment vertical="center"/>
      <protection/>
    </xf>
    <xf numFmtId="171" fontId="9" fillId="0" borderId="0" xfId="432" applyFont="1" applyFill="1" applyBorder="1" applyAlignment="1">
      <alignment horizontal="right" vertical="center"/>
    </xf>
    <xf numFmtId="0" fontId="0" fillId="35" borderId="50" xfId="0" applyFill="1" applyBorder="1" applyAlignment="1">
      <alignment/>
    </xf>
    <xf numFmtId="171" fontId="9" fillId="0" borderId="0" xfId="296" applyNumberFormat="1" applyFont="1" applyFill="1" applyBorder="1" applyAlignment="1">
      <alignment horizontal="right" vertical="center"/>
      <protection/>
    </xf>
    <xf numFmtId="9" fontId="11" fillId="35" borderId="50" xfId="301" applyFont="1" applyFill="1" applyBorder="1" applyAlignment="1">
      <alignment horizontal="center" vertical="center"/>
    </xf>
    <xf numFmtId="43" fontId="9" fillId="0" borderId="0" xfId="432" applyNumberFormat="1" applyFont="1" applyFill="1" applyBorder="1" applyAlignment="1">
      <alignment horizontal="right" vertical="center"/>
    </xf>
    <xf numFmtId="43" fontId="11" fillId="35" borderId="50" xfId="432" applyNumberFormat="1" applyFont="1" applyFill="1" applyBorder="1" applyAlignment="1">
      <alignment horizontal="right" vertical="center"/>
    </xf>
    <xf numFmtId="0" fontId="9" fillId="35" borderId="50" xfId="296" applyFont="1" applyFill="1" applyBorder="1" applyAlignment="1">
      <alignment horizontal="right" vertical="center"/>
      <protection/>
    </xf>
    <xf numFmtId="43" fontId="11" fillId="35" borderId="50" xfId="296" applyNumberFormat="1" applyFont="1" applyFill="1" applyBorder="1" applyAlignment="1">
      <alignment horizontal="right" vertical="center"/>
      <protection/>
    </xf>
    <xf numFmtId="43" fontId="9" fillId="0" borderId="0" xfId="296" applyNumberFormat="1" applyFont="1" applyFill="1" applyBorder="1" applyAlignment="1">
      <alignment horizontal="right" vertical="center"/>
      <protection/>
    </xf>
    <xf numFmtId="10" fontId="11" fillId="35" borderId="50" xfId="301" applyNumberFormat="1" applyFont="1" applyFill="1" applyBorder="1" applyAlignment="1">
      <alignment horizontal="right" vertical="center"/>
    </xf>
    <xf numFmtId="10" fontId="11" fillId="35" borderId="50" xfId="432" applyNumberFormat="1" applyFont="1" applyFill="1" applyBorder="1" applyAlignment="1">
      <alignment horizontal="right" vertical="center"/>
    </xf>
    <xf numFmtId="10" fontId="11" fillId="35" borderId="50" xfId="296" applyNumberFormat="1" applyFont="1" applyFill="1" applyBorder="1" applyAlignment="1">
      <alignment horizontal="center" vertical="center"/>
      <protection/>
    </xf>
    <xf numFmtId="4" fontId="14" fillId="0" borderId="50" xfId="298" applyNumberFormat="1" applyFont="1" applyFill="1" applyBorder="1" applyAlignment="1" applyProtection="1">
      <alignment horizontal="center" vertical="center" wrapText="1"/>
      <protection/>
    </xf>
    <xf numFmtId="2" fontId="14" fillId="0" borderId="50" xfId="301" applyNumberFormat="1" applyFont="1" applyFill="1" applyBorder="1" applyAlignment="1" applyProtection="1">
      <alignment horizontal="center" vertical="center" wrapText="1"/>
      <protection/>
    </xf>
    <xf numFmtId="0" fontId="8" fillId="34" borderId="27" xfId="443" applyNumberFormat="1" applyFont="1" applyFill="1" applyBorder="1" applyAlignment="1">
      <alignment vertical="center" wrapText="1"/>
    </xf>
    <xf numFmtId="0" fontId="8" fillId="34" borderId="27" xfId="443" applyNumberFormat="1" applyFont="1" applyFill="1" applyBorder="1" applyAlignment="1">
      <alignment horizontal="center" vertical="center" wrapText="1"/>
    </xf>
    <xf numFmtId="0" fontId="22" fillId="35" borderId="22" xfId="0" applyNumberFormat="1" applyFont="1" applyFill="1" applyBorder="1" applyAlignment="1" quotePrefix="1">
      <alignment horizontal="center" vertical="center" wrapText="1"/>
    </xf>
    <xf numFmtId="0" fontId="22" fillId="35" borderId="51" xfId="0" applyNumberFormat="1" applyFont="1" applyFill="1" applyBorder="1" applyAlignment="1">
      <alignment horizontal="left" vertical="center" wrapText="1"/>
    </xf>
    <xf numFmtId="0" fontId="22" fillId="35" borderId="23" xfId="0" applyNumberFormat="1" applyFont="1" applyFill="1" applyBorder="1" applyAlignment="1">
      <alignment horizontal="left" vertical="center" wrapText="1"/>
    </xf>
    <xf numFmtId="0" fontId="23" fillId="35" borderId="23" xfId="0" applyNumberFormat="1" applyFont="1" applyFill="1" applyBorder="1" applyAlignment="1">
      <alignment horizontal="center" vertical="center" wrapText="1"/>
    </xf>
    <xf numFmtId="4" fontId="23" fillId="35" borderId="23" xfId="0" applyNumberFormat="1" applyFont="1" applyFill="1" applyBorder="1" applyAlignment="1">
      <alignment horizontal="right" vertical="center"/>
    </xf>
    <xf numFmtId="4" fontId="23" fillId="35" borderId="52" xfId="0" applyNumberFormat="1" applyFont="1" applyFill="1" applyBorder="1" applyAlignment="1">
      <alignment horizontal="right" vertical="center"/>
    </xf>
    <xf numFmtId="4" fontId="22" fillId="35" borderId="52" xfId="0" applyNumberFormat="1" applyFont="1" applyFill="1" applyBorder="1" applyAlignment="1">
      <alignment horizontal="center" vertical="center"/>
    </xf>
    <xf numFmtId="10" fontId="22" fillId="35" borderId="35" xfId="0" applyNumberFormat="1" applyFont="1" applyFill="1" applyBorder="1" applyAlignment="1">
      <alignment horizontal="center" vertical="center"/>
    </xf>
    <xf numFmtId="0" fontId="23" fillId="34" borderId="31" xfId="0" applyNumberFormat="1" applyFont="1" applyFill="1" applyBorder="1" applyAlignment="1" quotePrefix="1">
      <alignment horizontal="center" vertical="center" wrapText="1"/>
    </xf>
    <xf numFmtId="0" fontId="8" fillId="34" borderId="31" xfId="443" applyNumberFormat="1" applyFont="1" applyFill="1" applyBorder="1" applyAlignment="1">
      <alignment vertical="center" wrapText="1"/>
    </xf>
    <xf numFmtId="0" fontId="8" fillId="34" borderId="31" xfId="443" applyNumberFormat="1" applyFont="1" applyFill="1" applyBorder="1" applyAlignment="1">
      <alignment horizontal="center" vertical="center" wrapText="1"/>
    </xf>
    <xf numFmtId="0" fontId="23" fillId="34" borderId="31" xfId="0" applyNumberFormat="1" applyFont="1" applyFill="1" applyBorder="1" applyAlignment="1">
      <alignment horizontal="center" vertical="center" wrapText="1"/>
    </xf>
    <xf numFmtId="4" fontId="23" fillId="34" borderId="31" xfId="0" applyNumberFormat="1" applyFont="1" applyFill="1" applyBorder="1" applyAlignment="1">
      <alignment horizontal="right" vertical="center"/>
    </xf>
    <xf numFmtId="4" fontId="23" fillId="34" borderId="39" xfId="0" applyNumberFormat="1" applyFont="1" applyFill="1" applyBorder="1" applyAlignment="1">
      <alignment horizontal="right" vertical="center"/>
    </xf>
    <xf numFmtId="10" fontId="22" fillId="34" borderId="31" xfId="0" applyNumberFormat="1" applyFont="1" applyFill="1" applyBorder="1" applyAlignment="1">
      <alignment horizontal="center" vertical="center"/>
    </xf>
    <xf numFmtId="0" fontId="22" fillId="35" borderId="33" xfId="0" applyNumberFormat="1" applyFont="1" applyFill="1" applyBorder="1" applyAlignment="1" quotePrefix="1">
      <alignment horizontal="center" vertical="center" wrapText="1"/>
    </xf>
    <xf numFmtId="0" fontId="22" fillId="35" borderId="23" xfId="0" applyNumberFormat="1" applyFont="1" applyFill="1" applyBorder="1" applyAlignment="1">
      <alignment horizontal="center" vertical="center" wrapText="1"/>
    </xf>
    <xf numFmtId="4" fontId="22" fillId="35" borderId="34" xfId="0" applyNumberFormat="1" applyFont="1" applyFill="1" applyBorder="1" applyAlignment="1">
      <alignment horizontal="center" vertical="center"/>
    </xf>
    <xf numFmtId="0" fontId="22" fillId="16" borderId="21" xfId="0" applyNumberFormat="1" applyFont="1" applyFill="1" applyBorder="1" applyAlignment="1" quotePrefix="1">
      <alignment horizontal="center" vertical="center" wrapText="1"/>
    </xf>
    <xf numFmtId="0" fontId="22" fillId="16" borderId="15" xfId="0" applyNumberFormat="1" applyFont="1" applyFill="1" applyBorder="1" applyAlignment="1">
      <alignment horizontal="left" vertical="center" wrapText="1"/>
    </xf>
    <xf numFmtId="0" fontId="8" fillId="16" borderId="16" xfId="443" applyNumberFormat="1" applyFont="1" applyFill="1" applyBorder="1" applyAlignment="1">
      <alignment horizontal="center" vertical="center" wrapText="1"/>
    </xf>
    <xf numFmtId="0" fontId="23" fillId="16" borderId="16" xfId="0" applyNumberFormat="1" applyFont="1" applyFill="1" applyBorder="1" applyAlignment="1" quotePrefix="1">
      <alignment horizontal="center" vertical="center" wrapText="1"/>
    </xf>
    <xf numFmtId="0" fontId="23" fillId="16" borderId="16" xfId="0" applyNumberFormat="1" applyFont="1" applyFill="1" applyBorder="1" applyAlignment="1">
      <alignment horizontal="center" vertical="center" wrapText="1"/>
    </xf>
    <xf numFmtId="4" fontId="23" fillId="16" borderId="16" xfId="0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vertical="center"/>
    </xf>
    <xf numFmtId="4" fontId="23" fillId="16" borderId="17" xfId="0" applyNumberFormat="1" applyFont="1" applyFill="1" applyBorder="1" applyAlignment="1">
      <alignment horizontal="right" vertical="center"/>
    </xf>
    <xf numFmtId="4" fontId="8" fillId="16" borderId="17" xfId="432" applyNumberFormat="1" applyFont="1" applyFill="1" applyBorder="1" applyAlignment="1">
      <alignment horizontal="center" vertical="center"/>
    </xf>
    <xf numFmtId="10" fontId="22" fillId="16" borderId="21" xfId="0" applyNumberFormat="1" applyFont="1" applyFill="1" applyBorder="1" applyAlignment="1">
      <alignment horizontal="center" vertical="center"/>
    </xf>
    <xf numFmtId="4" fontId="23" fillId="16" borderId="14" xfId="0" applyNumberFormat="1" applyFont="1" applyFill="1" applyBorder="1" applyAlignment="1">
      <alignment horizontal="right" vertical="center"/>
    </xf>
    <xf numFmtId="4" fontId="23" fillId="16" borderId="20" xfId="0" applyNumberFormat="1" applyFont="1" applyFill="1" applyBorder="1" applyAlignment="1">
      <alignment horizontal="right" vertical="center"/>
    </xf>
    <xf numFmtId="4" fontId="8" fillId="16" borderId="21" xfId="432" applyNumberFormat="1" applyFont="1" applyFill="1" applyBorder="1" applyAlignment="1">
      <alignment horizontal="center" vertical="center"/>
    </xf>
    <xf numFmtId="0" fontId="22" fillId="16" borderId="15" xfId="0" applyNumberFormat="1" applyFont="1" applyFill="1" applyBorder="1" applyAlignment="1">
      <alignment horizontal="center" vertical="center" wrapText="1"/>
    </xf>
    <xf numFmtId="4" fontId="23" fillId="16" borderId="17" xfId="0" applyNumberFormat="1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89" fillId="16" borderId="16" xfId="0" applyFont="1" applyFill="1" applyBorder="1" applyAlignment="1" quotePrefix="1">
      <alignment horizontal="center" vertical="center" wrapText="1"/>
    </xf>
    <xf numFmtId="0" fontId="8" fillId="16" borderId="16" xfId="0" applyFont="1" applyFill="1" applyBorder="1" applyAlignment="1">
      <alignment horizontal="center" vertical="center"/>
    </xf>
    <xf numFmtId="4" fontId="8" fillId="16" borderId="16" xfId="443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horizontal="right" vertical="center"/>
    </xf>
    <xf numFmtId="4" fontId="22" fillId="16" borderId="21" xfId="0" applyNumberFormat="1" applyFont="1" applyFill="1" applyBorder="1" applyAlignment="1">
      <alignment horizontal="center" vertical="center"/>
    </xf>
    <xf numFmtId="2" fontId="80" fillId="0" borderId="0" xfId="0" applyNumberFormat="1" applyFont="1" applyBorder="1" applyAlignment="1">
      <alignment horizontal="left" vertical="center"/>
    </xf>
    <xf numFmtId="4" fontId="23" fillId="0" borderId="31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171" fontId="20" fillId="0" borderId="0" xfId="308" applyFont="1" applyFill="1" applyBorder="1" applyAlignment="1">
      <alignment horizontal="center" vertical="center" wrapText="1"/>
    </xf>
    <xf numFmtId="3" fontId="23" fillId="34" borderId="21" xfId="0" applyNumberFormat="1" applyFont="1" applyFill="1" applyBorder="1" applyAlignment="1" quotePrefix="1">
      <alignment horizontal="center" vertical="center" wrapText="1"/>
    </xf>
    <xf numFmtId="171" fontId="20" fillId="0" borderId="14" xfId="308" applyFont="1" applyFill="1" applyBorder="1" applyAlignment="1">
      <alignment horizontal="center" vertical="center" wrapText="1"/>
    </xf>
    <xf numFmtId="171" fontId="21" fillId="35" borderId="13" xfId="308" applyFont="1" applyFill="1" applyBorder="1" applyAlignment="1">
      <alignment horizontal="center" vertical="center" wrapText="1"/>
    </xf>
    <xf numFmtId="171" fontId="21" fillId="35" borderId="14" xfId="308" applyFont="1" applyFill="1" applyBorder="1" applyAlignment="1">
      <alignment horizontal="left" vertical="center" wrapText="1"/>
    </xf>
    <xf numFmtId="171" fontId="21" fillId="35" borderId="14" xfId="308" applyFont="1" applyFill="1" applyBorder="1" applyAlignment="1">
      <alignment horizontal="center" vertical="center" wrapText="1"/>
    </xf>
    <xf numFmtId="171" fontId="21" fillId="35" borderId="14" xfId="308" applyFont="1" applyFill="1" applyBorder="1" applyAlignment="1">
      <alignment horizontal="center" vertical="center"/>
    </xf>
    <xf numFmtId="171" fontId="21" fillId="35" borderId="20" xfId="308" applyFont="1" applyFill="1" applyBorder="1" applyAlignment="1">
      <alignment horizontal="center" vertical="center"/>
    </xf>
    <xf numFmtId="171" fontId="21" fillId="16" borderId="15" xfId="308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3" fillId="0" borderId="31" xfId="296" applyFont="1" applyFill="1" applyBorder="1" applyAlignment="1">
      <alignment/>
      <protection/>
    </xf>
    <xf numFmtId="4" fontId="8" fillId="0" borderId="31" xfId="432" applyNumberFormat="1" applyFont="1" applyFill="1" applyBorder="1" applyAlignment="1">
      <alignment horizontal="center" vertical="center"/>
    </xf>
    <xf numFmtId="0" fontId="8" fillId="0" borderId="27" xfId="443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vertical="center"/>
    </xf>
    <xf numFmtId="171" fontId="21" fillId="16" borderId="13" xfId="308" applyFont="1" applyFill="1" applyBorder="1" applyAlignment="1">
      <alignment horizontal="left" vertical="center" wrapText="1"/>
    </xf>
    <xf numFmtId="171" fontId="21" fillId="16" borderId="14" xfId="308" applyFont="1" applyFill="1" applyBorder="1" applyAlignment="1">
      <alignment horizontal="left" vertical="center" wrapText="1"/>
    </xf>
    <xf numFmtId="171" fontId="21" fillId="16" borderId="14" xfId="308" applyFont="1" applyFill="1" applyBorder="1" applyAlignment="1">
      <alignment horizontal="center" vertical="center" wrapText="1"/>
    </xf>
    <xf numFmtId="171" fontId="21" fillId="16" borderId="14" xfId="308" applyFont="1" applyFill="1" applyBorder="1" applyAlignment="1">
      <alignment horizontal="center" vertical="center"/>
    </xf>
    <xf numFmtId="2" fontId="80" fillId="16" borderId="2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 wrapText="1"/>
    </xf>
    <xf numFmtId="0" fontId="22" fillId="16" borderId="21" xfId="0" applyNumberFormat="1" applyFont="1" applyFill="1" applyBorder="1" applyAlignment="1">
      <alignment horizontal="center" vertical="center" wrapText="1"/>
    </xf>
    <xf numFmtId="0" fontId="23" fillId="16" borderId="21" xfId="0" applyNumberFormat="1" applyFont="1" applyFill="1" applyBorder="1" applyAlignment="1">
      <alignment horizontal="center" vertical="center" wrapText="1"/>
    </xf>
    <xf numFmtId="0" fontId="23" fillId="16" borderId="21" xfId="0" applyNumberFormat="1" applyFont="1" applyFill="1" applyBorder="1" applyAlignment="1" quotePrefix="1">
      <alignment horizontal="center" vertical="center" wrapText="1"/>
    </xf>
    <xf numFmtId="4" fontId="23" fillId="16" borderId="21" xfId="0" applyNumberFormat="1" applyFont="1" applyFill="1" applyBorder="1" applyAlignment="1">
      <alignment horizontal="right" vertical="center"/>
    </xf>
    <xf numFmtId="4" fontId="8" fillId="16" borderId="21" xfId="0" applyNumberFormat="1" applyFont="1" applyFill="1" applyBorder="1" applyAlignment="1">
      <alignment vertical="center"/>
    </xf>
    <xf numFmtId="4" fontId="23" fillId="16" borderId="21" xfId="0" applyNumberFormat="1" applyFont="1" applyFill="1" applyBorder="1" applyAlignment="1">
      <alignment horizontal="center" vertical="center"/>
    </xf>
    <xf numFmtId="171" fontId="20" fillId="35" borderId="14" xfId="308" applyFont="1" applyFill="1" applyBorder="1" applyAlignment="1">
      <alignment horizontal="left" vertical="center" wrapText="1"/>
    </xf>
    <xf numFmtId="2" fontId="81" fillId="35" borderId="14" xfId="0" applyNumberFormat="1" applyFont="1" applyFill="1" applyBorder="1" applyAlignment="1">
      <alignment horizontal="center" vertical="center"/>
    </xf>
    <xf numFmtId="2" fontId="80" fillId="35" borderId="20" xfId="0" applyNumberFormat="1" applyFont="1" applyFill="1" applyBorder="1" applyAlignment="1">
      <alignment horizontal="center" vertical="center"/>
    </xf>
    <xf numFmtId="0" fontId="80" fillId="16" borderId="16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71" fontId="8" fillId="0" borderId="21" xfId="443" applyFont="1" applyFill="1" applyBorder="1" applyAlignment="1">
      <alignment horizontal="right" vertical="center"/>
    </xf>
    <xf numFmtId="171" fontId="20" fillId="16" borderId="16" xfId="308" applyFont="1" applyFill="1" applyBorder="1" applyAlignment="1">
      <alignment horizontal="left" vertical="center" wrapText="1"/>
    </xf>
    <xf numFmtId="0" fontId="81" fillId="16" borderId="16" xfId="0" applyFont="1" applyFill="1" applyBorder="1" applyAlignment="1">
      <alignment horizontal="center" vertical="center"/>
    </xf>
    <xf numFmtId="2" fontId="81" fillId="16" borderId="16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78" fillId="0" borderId="11" xfId="0" applyFont="1" applyBorder="1" applyAlignment="1">
      <alignment/>
    </xf>
    <xf numFmtId="0" fontId="18" fillId="0" borderId="0" xfId="299" applyFont="1" applyFill="1" applyBorder="1" applyAlignment="1">
      <alignment horizontal="left" vertical="center" wrapText="1"/>
      <protection/>
    </xf>
    <xf numFmtId="0" fontId="85" fillId="0" borderId="0" xfId="0" applyFont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" fillId="0" borderId="21" xfId="443" applyNumberFormat="1" applyFont="1" applyFill="1" applyBorder="1" applyAlignment="1">
      <alignment horizontal="left" vertical="center" wrapText="1"/>
    </xf>
    <xf numFmtId="0" fontId="85" fillId="38" borderId="10" xfId="0" applyFont="1" applyFill="1" applyBorder="1" applyAlignment="1">
      <alignment horizontal="left" vertical="center" wrapText="1"/>
    </xf>
    <xf numFmtId="0" fontId="85" fillId="38" borderId="11" xfId="0" applyFont="1" applyFill="1" applyBorder="1" applyAlignment="1">
      <alignment horizontal="left" vertical="center" wrapText="1"/>
    </xf>
    <xf numFmtId="10" fontId="85" fillId="38" borderId="11" xfId="302" applyNumberFormat="1" applyFont="1" applyFill="1" applyBorder="1" applyAlignment="1">
      <alignment horizontal="left" vertical="center" wrapText="1"/>
    </xf>
    <xf numFmtId="0" fontId="85" fillId="38" borderId="11" xfId="0" applyFont="1" applyFill="1" applyBorder="1" applyAlignment="1">
      <alignment horizontal="right" vertical="center" wrapText="1"/>
    </xf>
    <xf numFmtId="0" fontId="85" fillId="38" borderId="18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 horizontal="right" vertical="center" wrapText="1"/>
    </xf>
    <xf numFmtId="2" fontId="4" fillId="38" borderId="0" xfId="0" applyNumberFormat="1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6" fillId="39" borderId="12" xfId="193" applyFont="1" applyFill="1" applyBorder="1" applyAlignment="1">
      <alignment horizontal="center" vertical="center" wrapText="1"/>
      <protection/>
    </xf>
    <xf numFmtId="0" fontId="86" fillId="39" borderId="0" xfId="193" applyFont="1" applyFill="1" applyBorder="1" applyAlignment="1">
      <alignment horizontal="center" vertical="center" wrapText="1"/>
      <protection/>
    </xf>
    <xf numFmtId="0" fontId="86" fillId="39" borderId="19" xfId="193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19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39" borderId="12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2" fontId="3" fillId="38" borderId="19" xfId="0" applyNumberFormat="1" applyFont="1" applyFill="1" applyBorder="1" applyAlignment="1">
      <alignment horizontal="right" vertical="center" wrapText="1"/>
    </xf>
    <xf numFmtId="2" fontId="4" fillId="38" borderId="2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2" fontId="4" fillId="34" borderId="19" xfId="0" applyNumberFormat="1" applyFont="1" applyFill="1" applyBorder="1" applyAlignment="1">
      <alignment horizontal="right" vertical="center" wrapText="1"/>
    </xf>
    <xf numFmtId="0" fontId="8" fillId="34" borderId="27" xfId="433" applyNumberFormat="1" applyFont="1" applyFill="1" applyBorder="1" applyAlignment="1">
      <alignment horizontal="left" vertical="center" wrapText="1"/>
    </xf>
    <xf numFmtId="4" fontId="23" fillId="34" borderId="13" xfId="0" applyNumberFormat="1" applyFont="1" applyFill="1" applyBorder="1" applyAlignment="1">
      <alignment horizontal="right" vertical="center"/>
    </xf>
    <xf numFmtId="171" fontId="21" fillId="35" borderId="10" xfId="308" applyFont="1" applyFill="1" applyBorder="1" applyAlignment="1">
      <alignment horizontal="left" vertical="center" wrapText="1"/>
    </xf>
    <xf numFmtId="171" fontId="21" fillId="0" borderId="12" xfId="308" applyFont="1" applyFill="1" applyBorder="1" applyAlignment="1">
      <alignment horizontal="left" vertical="center" wrapText="1"/>
    </xf>
    <xf numFmtId="2" fontId="81" fillId="0" borderId="18" xfId="0" applyNumberFormat="1" applyFont="1" applyFill="1" applyBorder="1" applyAlignment="1">
      <alignment horizontal="center" vertical="center"/>
    </xf>
    <xf numFmtId="10" fontId="23" fillId="0" borderId="27" xfId="0" applyNumberFormat="1" applyFont="1" applyFill="1" applyBorder="1" applyAlignment="1">
      <alignment horizontal="center" vertical="center"/>
    </xf>
    <xf numFmtId="171" fontId="20" fillId="0" borderId="0" xfId="308" applyFont="1" applyFill="1" applyBorder="1" applyAlignment="1">
      <alignment horizontal="center" vertical="center"/>
    </xf>
    <xf numFmtId="171" fontId="20" fillId="16" borderId="15" xfId="308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left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171" fontId="81" fillId="0" borderId="0" xfId="0" applyNumberFormat="1" applyFont="1" applyBorder="1" applyAlignment="1">
      <alignment/>
    </xf>
    <xf numFmtId="0" fontId="4" fillId="34" borderId="12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53" xfId="296" applyFont="1" applyFill="1" applyBorder="1" applyAlignment="1">
      <alignment horizontal="center" vertical="center"/>
      <protection/>
    </xf>
    <xf numFmtId="0" fontId="11" fillId="0" borderId="53" xfId="296" applyFont="1" applyFill="1" applyBorder="1" applyAlignment="1">
      <alignment vertical="center"/>
      <protection/>
    </xf>
    <xf numFmtId="43" fontId="9" fillId="0" borderId="53" xfId="432" applyNumberFormat="1" applyFont="1" applyFill="1" applyBorder="1" applyAlignment="1">
      <alignment horizontal="right" vertical="center"/>
    </xf>
    <xf numFmtId="43" fontId="9" fillId="0" borderId="54" xfId="432" applyNumberFormat="1" applyFont="1" applyFill="1" applyBorder="1" applyAlignment="1">
      <alignment horizontal="right" vertical="center"/>
    </xf>
    <xf numFmtId="43" fontId="9" fillId="0" borderId="54" xfId="432" applyNumberFormat="1" applyFont="1" applyFill="1" applyBorder="1" applyAlignment="1">
      <alignment horizontal="center" vertical="center"/>
    </xf>
    <xf numFmtId="4" fontId="23" fillId="34" borderId="14" xfId="0" applyNumberFormat="1" applyFont="1" applyFill="1" applyBorder="1" applyAlignment="1">
      <alignment horizontal="right" vertical="center"/>
    </xf>
    <xf numFmtId="4" fontId="23" fillId="34" borderId="20" xfId="0" applyNumberFormat="1" applyFont="1" applyFill="1" applyBorder="1" applyAlignment="1">
      <alignment horizontal="right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171" fontId="8" fillId="0" borderId="31" xfId="443" applyFont="1" applyFill="1" applyBorder="1" applyAlignment="1" applyProtection="1">
      <alignment horizontal="center" vertical="center" wrapText="1"/>
      <protection/>
    </xf>
    <xf numFmtId="4" fontId="23" fillId="0" borderId="1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left" vertical="center" wrapText="1"/>
    </xf>
    <xf numFmtId="0" fontId="88" fillId="0" borderId="31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 quotePrefix="1">
      <alignment horizontal="center" vertical="center" wrapText="1"/>
    </xf>
    <xf numFmtId="4" fontId="8" fillId="0" borderId="31" xfId="299" applyNumberFormat="1" applyFont="1" applyFill="1" applyBorder="1" applyAlignment="1">
      <alignment horizontal="right" vertical="center"/>
      <protection/>
    </xf>
    <xf numFmtId="0" fontId="23" fillId="0" borderId="39" xfId="0" applyNumberFormat="1" applyFont="1" applyFill="1" applyBorder="1" applyAlignment="1" quotePrefix="1">
      <alignment horizontal="center" vertical="center" wrapText="1"/>
    </xf>
    <xf numFmtId="0" fontId="8" fillId="0" borderId="27" xfId="444" applyNumberFormat="1" applyFont="1" applyFill="1" applyBorder="1" applyAlignment="1">
      <alignment vertical="center" wrapText="1"/>
    </xf>
    <xf numFmtId="0" fontId="8" fillId="0" borderId="27" xfId="444" applyNumberFormat="1" applyFont="1" applyFill="1" applyBorder="1" applyAlignment="1">
      <alignment horizontal="center" vertical="center" wrapText="1"/>
    </xf>
    <xf numFmtId="10" fontId="22" fillId="0" borderId="3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8" fillId="0" borderId="21" xfId="443" applyNumberFormat="1" applyFont="1" applyFill="1" applyBorder="1" applyAlignment="1" quotePrefix="1">
      <alignment horizontal="center" vertical="center" wrapText="1"/>
    </xf>
    <xf numFmtId="0" fontId="8" fillId="0" borderId="31" xfId="443" applyNumberFormat="1" applyFont="1" applyFill="1" applyBorder="1" applyAlignment="1">
      <alignment vertical="center" wrapText="1"/>
    </xf>
    <xf numFmtId="4" fontId="8" fillId="0" borderId="31" xfId="443" applyNumberFormat="1" applyFont="1" applyFill="1" applyBorder="1" applyAlignment="1">
      <alignment horizontal="right" vertical="center" wrapText="1"/>
    </xf>
    <xf numFmtId="0" fontId="8" fillId="0" borderId="21" xfId="444" applyNumberFormat="1" applyFont="1" applyFill="1" applyBorder="1" applyAlignment="1">
      <alignment horizontal="center" vertical="center" wrapText="1"/>
    </xf>
    <xf numFmtId="0" fontId="8" fillId="0" borderId="21" xfId="444" applyNumberFormat="1" applyFont="1" applyFill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10" fontId="14" fillId="0" borderId="21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right" vertical="center"/>
    </xf>
    <xf numFmtId="4" fontId="22" fillId="0" borderId="27" xfId="0" applyNumberFormat="1" applyFont="1" applyFill="1" applyBorder="1" applyAlignment="1">
      <alignment horizontal="center" vertical="center"/>
    </xf>
    <xf numFmtId="171" fontId="8" fillId="0" borderId="21" xfId="444" applyFont="1" applyFill="1" applyBorder="1" applyAlignment="1">
      <alignment vertical="center"/>
    </xf>
    <xf numFmtId="171" fontId="8" fillId="0" borderId="27" xfId="443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horizontal="right" vertical="center" wrapText="1"/>
    </xf>
    <xf numFmtId="0" fontId="8" fillId="0" borderId="31" xfId="444" applyNumberFormat="1" applyFont="1" applyFill="1" applyBorder="1" applyAlignment="1">
      <alignment vertical="center" wrapText="1"/>
    </xf>
    <xf numFmtId="171" fontId="8" fillId="0" borderId="21" xfId="444" applyFont="1" applyFill="1" applyBorder="1" applyAlignment="1" applyProtection="1">
      <alignment horizontal="center" vertical="center" wrapText="1"/>
      <protection/>
    </xf>
    <xf numFmtId="4" fontId="8" fillId="16" borderId="16" xfId="444" applyNumberFormat="1" applyFont="1" applyFill="1" applyBorder="1" applyAlignment="1">
      <alignment horizontal="right" vertical="center"/>
    </xf>
    <xf numFmtId="0" fontId="8" fillId="16" borderId="16" xfId="0" applyFont="1" applyFill="1" applyBorder="1" applyAlignment="1" quotePrefix="1">
      <alignment horizontal="center" vertical="center" wrapText="1"/>
    </xf>
    <xf numFmtId="171" fontId="8" fillId="0" borderId="41" xfId="444" applyFont="1" applyFill="1" applyBorder="1" applyAlignment="1" applyProtection="1">
      <alignment horizontal="center" vertical="center" wrapText="1"/>
      <protection/>
    </xf>
    <xf numFmtId="3" fontId="23" fillId="34" borderId="31" xfId="0" applyNumberFormat="1" applyFont="1" applyFill="1" applyBorder="1" applyAlignment="1" quotePrefix="1">
      <alignment horizontal="center" vertical="center" wrapText="1"/>
    </xf>
    <xf numFmtId="4" fontId="8" fillId="34" borderId="31" xfId="443" applyNumberFormat="1" applyFont="1" applyFill="1" applyBorder="1" applyAlignment="1">
      <alignment horizontal="right" vertical="center"/>
    </xf>
    <xf numFmtId="4" fontId="23" fillId="34" borderId="31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right"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4" fontId="8" fillId="34" borderId="31" xfId="0" applyNumberFormat="1" applyFont="1" applyFill="1" applyBorder="1" applyAlignment="1">
      <alignment horizontal="right" vertical="center"/>
    </xf>
    <xf numFmtId="4" fontId="8" fillId="0" borderId="31" xfId="444" applyNumberFormat="1" applyFont="1" applyFill="1" applyBorder="1" applyAlignment="1">
      <alignment horizontal="right" vertical="center"/>
    </xf>
    <xf numFmtId="4" fontId="23" fillId="0" borderId="39" xfId="0" applyNumberFormat="1" applyFont="1" applyFill="1" applyBorder="1" applyAlignment="1">
      <alignment horizontal="center" vertical="center"/>
    </xf>
    <xf numFmtId="10" fontId="22" fillId="0" borderId="12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 wrapText="1"/>
    </xf>
    <xf numFmtId="0" fontId="80" fillId="16" borderId="15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right" vertical="center" wrapText="1"/>
    </xf>
    <xf numFmtId="2" fontId="85" fillId="34" borderId="0" xfId="0" applyNumberFormat="1" applyFont="1" applyFill="1" applyBorder="1" applyAlignment="1">
      <alignment horizontal="right" vertical="center" wrapText="1"/>
    </xf>
    <xf numFmtId="0" fontId="8" fillId="34" borderId="31" xfId="433" applyNumberFormat="1" applyFont="1" applyFill="1" applyBorder="1" applyAlignment="1">
      <alignment horizontal="left" vertical="center" wrapText="1"/>
    </xf>
    <xf numFmtId="0" fontId="8" fillId="34" borderId="31" xfId="433" applyNumberFormat="1" applyFont="1" applyFill="1" applyBorder="1" applyAlignment="1">
      <alignment horizontal="center" vertical="center" wrapText="1"/>
    </xf>
    <xf numFmtId="171" fontId="8" fillId="34" borderId="31" xfId="443" applyFont="1" applyFill="1" applyBorder="1" applyAlignment="1">
      <alignment vertical="center"/>
    </xf>
    <xf numFmtId="2" fontId="80" fillId="0" borderId="0" xfId="0" applyNumberFormat="1" applyFont="1" applyBorder="1" applyAlignment="1">
      <alignment horizontal="center" vertical="center"/>
    </xf>
    <xf numFmtId="0" fontId="23" fillId="34" borderId="31" xfId="0" applyNumberFormat="1" applyFont="1" applyFill="1" applyBorder="1" applyAlignment="1">
      <alignment horizontal="left" vertical="center" wrapText="1"/>
    </xf>
    <xf numFmtId="4" fontId="8" fillId="34" borderId="31" xfId="0" applyNumberFormat="1" applyFont="1" applyFill="1" applyBorder="1" applyAlignment="1">
      <alignment vertical="center"/>
    </xf>
    <xf numFmtId="4" fontId="8" fillId="34" borderId="31" xfId="432" applyNumberFormat="1" applyFont="1" applyFill="1" applyBorder="1" applyAlignment="1">
      <alignment horizontal="center" vertical="center"/>
    </xf>
    <xf numFmtId="0" fontId="8" fillId="0" borderId="31" xfId="433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171" fontId="8" fillId="0" borderId="31" xfId="443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72" fontId="12" fillId="37" borderId="22" xfId="51" applyNumberFormat="1" applyFont="1" applyFill="1" applyBorder="1" applyAlignment="1">
      <alignment horizontal="center" vertical="center" wrapText="1"/>
      <protection/>
    </xf>
    <xf numFmtId="172" fontId="12" fillId="37" borderId="23" xfId="51" applyNumberFormat="1" applyFont="1" applyFill="1" applyBorder="1" applyAlignment="1">
      <alignment horizontal="center" vertical="center" wrapText="1"/>
      <protection/>
    </xf>
    <xf numFmtId="172" fontId="12" fillId="37" borderId="24" xfId="51" applyNumberFormat="1" applyFont="1" applyFill="1" applyBorder="1" applyAlignment="1">
      <alignment horizontal="center" vertical="center" wrapText="1"/>
      <protection/>
    </xf>
    <xf numFmtId="172" fontId="8" fillId="0" borderId="15" xfId="51" applyNumberFormat="1" applyFont="1" applyFill="1" applyBorder="1" applyAlignment="1">
      <alignment horizontal="left" vertical="center" wrapText="1"/>
      <protection/>
    </xf>
    <xf numFmtId="172" fontId="8" fillId="0" borderId="16" xfId="51" applyNumberFormat="1" applyFont="1" applyFill="1" applyBorder="1" applyAlignment="1">
      <alignment horizontal="left" vertical="center" wrapText="1"/>
      <protection/>
    </xf>
    <xf numFmtId="172" fontId="8" fillId="0" borderId="17" xfId="51" applyNumberFormat="1" applyFont="1" applyFill="1" applyBorder="1" applyAlignment="1">
      <alignment horizontal="left" vertical="center" wrapText="1"/>
      <protection/>
    </xf>
    <xf numFmtId="172" fontId="12" fillId="0" borderId="15" xfId="51" applyNumberFormat="1" applyFont="1" applyFill="1" applyBorder="1" applyAlignment="1">
      <alignment horizontal="center" vertical="center" wrapText="1"/>
      <protection/>
    </xf>
    <xf numFmtId="172" fontId="12" fillId="0" borderId="16" xfId="51" applyNumberFormat="1" applyFont="1" applyFill="1" applyBorder="1" applyAlignment="1">
      <alignment horizontal="center" vertical="center" wrapText="1"/>
      <protection/>
    </xf>
    <xf numFmtId="172" fontId="12" fillId="0" borderId="17" xfId="51" applyNumberFormat="1" applyFont="1" applyFill="1" applyBorder="1" applyAlignment="1">
      <alignment horizontal="center" vertical="center" wrapText="1"/>
      <protection/>
    </xf>
    <xf numFmtId="0" fontId="14" fillId="0" borderId="55" xfId="298" applyNumberFormat="1" applyFont="1" applyFill="1" applyBorder="1" applyAlignment="1" applyProtection="1">
      <alignment horizontal="center" vertical="center" wrapText="1"/>
      <protection/>
    </xf>
    <xf numFmtId="0" fontId="14" fillId="0" borderId="56" xfId="298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" fontId="14" fillId="0" borderId="57" xfId="298" applyNumberFormat="1" applyFont="1" applyFill="1" applyBorder="1" applyAlignment="1" applyProtection="1">
      <alignment horizontal="center" vertical="center" wrapText="1"/>
      <protection/>
    </xf>
    <xf numFmtId="4" fontId="14" fillId="0" borderId="58" xfId="298" applyNumberFormat="1" applyFont="1" applyFill="1" applyBorder="1" applyAlignment="1" applyProtection="1">
      <alignment horizontal="center" vertical="center" wrapText="1"/>
      <protection/>
    </xf>
    <xf numFmtId="10" fontId="14" fillId="0" borderId="57" xfId="298" applyNumberFormat="1" applyFont="1" applyFill="1" applyBorder="1" applyAlignment="1" applyProtection="1">
      <alignment horizontal="center" vertical="center" wrapText="1"/>
      <protection/>
    </xf>
    <xf numFmtId="10" fontId="14" fillId="0" borderId="58" xfId="298" applyNumberFormat="1" applyFont="1" applyFill="1" applyBorder="1" applyAlignment="1" applyProtection="1">
      <alignment horizontal="center" vertical="center" wrapText="1"/>
      <protection/>
    </xf>
    <xf numFmtId="0" fontId="22" fillId="35" borderId="22" xfId="0" applyNumberFormat="1" applyFont="1" applyFill="1" applyBorder="1" applyAlignment="1" quotePrefix="1">
      <alignment horizontal="left" vertical="center" wrapText="1"/>
    </xf>
    <xf numFmtId="0" fontId="22" fillId="35" borderId="23" xfId="0" applyNumberFormat="1" applyFont="1" applyFill="1" applyBorder="1" applyAlignment="1" quotePrefix="1">
      <alignment horizontal="left" vertical="center" wrapText="1"/>
    </xf>
    <xf numFmtId="0" fontId="25" fillId="41" borderId="0" xfId="299" applyFont="1" applyFill="1" applyBorder="1" applyAlignment="1">
      <alignment horizontal="justify" vertical="center" wrapText="1"/>
      <protection/>
    </xf>
    <xf numFmtId="0" fontId="14" fillId="0" borderId="42" xfId="51" applyNumberFormat="1" applyFont="1" applyFill="1" applyBorder="1" applyAlignment="1">
      <alignment horizontal="center" vertical="center" wrapText="1"/>
      <protection/>
    </xf>
    <xf numFmtId="0" fontId="14" fillId="0" borderId="44" xfId="51" applyNumberFormat="1" applyFont="1" applyFill="1" applyBorder="1" applyAlignment="1">
      <alignment horizontal="center" vertical="center" wrapText="1"/>
      <protection/>
    </xf>
    <xf numFmtId="0" fontId="8" fillId="0" borderId="0" xfId="299" applyFont="1" applyFill="1" applyBorder="1" applyAlignment="1">
      <alignment horizontal="left" vertical="center" wrapText="1"/>
      <protection/>
    </xf>
    <xf numFmtId="0" fontId="14" fillId="0" borderId="57" xfId="298" applyNumberFormat="1" applyFont="1" applyFill="1" applyBorder="1" applyAlignment="1" applyProtection="1">
      <alignment horizontal="center" vertical="center" wrapText="1"/>
      <protection/>
    </xf>
    <xf numFmtId="0" fontId="14" fillId="0" borderId="58" xfId="298" applyNumberFormat="1" applyFont="1" applyFill="1" applyBorder="1" applyAlignment="1" applyProtection="1">
      <alignment horizontal="center" vertical="center" wrapText="1"/>
      <protection/>
    </xf>
    <xf numFmtId="4" fontId="14" fillId="0" borderId="55" xfId="298" applyNumberFormat="1" applyFont="1" applyFill="1" applyBorder="1" applyAlignment="1" applyProtection="1">
      <alignment horizontal="center" vertical="center" wrapText="1"/>
      <protection/>
    </xf>
    <xf numFmtId="4" fontId="14" fillId="0" borderId="56" xfId="298" applyNumberFormat="1" applyFont="1" applyFill="1" applyBorder="1" applyAlignment="1" applyProtection="1">
      <alignment horizontal="center" vertical="center" wrapText="1"/>
      <protection/>
    </xf>
    <xf numFmtId="4" fontId="14" fillId="34" borderId="57" xfId="298" applyNumberFormat="1" applyFont="1" applyFill="1" applyBorder="1" applyAlignment="1" applyProtection="1">
      <alignment horizontal="center" vertical="center" wrapText="1"/>
      <protection/>
    </xf>
    <xf numFmtId="4" fontId="14" fillId="34" borderId="58" xfId="298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72" fontId="3" fillId="0" borderId="15" xfId="51" applyNumberFormat="1" applyFont="1" applyFill="1" applyBorder="1" applyAlignment="1">
      <alignment horizontal="left" vertical="center" wrapText="1"/>
      <protection/>
    </xf>
    <xf numFmtId="172" fontId="3" fillId="0" borderId="16" xfId="51" applyNumberFormat="1" applyFont="1" applyFill="1" applyBorder="1" applyAlignment="1">
      <alignment horizontal="left" vertical="center" wrapText="1"/>
      <protection/>
    </xf>
    <xf numFmtId="0" fontId="4" fillId="37" borderId="22" xfId="296" applyFont="1" applyFill="1" applyBorder="1" applyAlignment="1">
      <alignment horizontal="center" vertical="center"/>
      <protection/>
    </xf>
    <xf numFmtId="0" fontId="4" fillId="37" borderId="23" xfId="296" applyFont="1" applyFill="1" applyBorder="1" applyAlignment="1">
      <alignment horizontal="center" vertical="center"/>
      <protection/>
    </xf>
    <xf numFmtId="0" fontId="4" fillId="37" borderId="24" xfId="296" applyFont="1" applyFill="1" applyBorder="1" applyAlignment="1">
      <alignment horizontal="center" vertical="center"/>
      <protection/>
    </xf>
    <xf numFmtId="0" fontId="2" fillId="34" borderId="0" xfId="299" applyFont="1" applyFill="1" applyBorder="1" applyAlignment="1">
      <alignment horizontal="left" vertical="top"/>
      <protection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172" fontId="4" fillId="0" borderId="15" xfId="51" applyNumberFormat="1" applyFont="1" applyFill="1" applyBorder="1" applyAlignment="1">
      <alignment horizontal="center" vertical="center" wrapText="1"/>
      <protection/>
    </xf>
    <xf numFmtId="172" fontId="4" fillId="0" borderId="16" xfId="51" applyNumberFormat="1" applyFont="1" applyFill="1" applyBorder="1" applyAlignment="1">
      <alignment horizontal="center" vertical="center" wrapText="1"/>
      <protection/>
    </xf>
    <xf numFmtId="172" fontId="4" fillId="0" borderId="17" xfId="51" applyNumberFormat="1" applyFont="1" applyFill="1" applyBorder="1" applyAlignment="1">
      <alignment horizontal="center" vertical="center" wrapText="1"/>
      <protection/>
    </xf>
    <xf numFmtId="0" fontId="19" fillId="0" borderId="59" xfId="296" applyFont="1" applyFill="1" applyBorder="1" applyAlignment="1">
      <alignment horizontal="center" vertical="center" wrapText="1"/>
      <protection/>
    </xf>
    <xf numFmtId="0" fontId="19" fillId="0" borderId="47" xfId="296" applyFont="1" applyFill="1" applyBorder="1" applyAlignment="1">
      <alignment horizontal="center" vertical="center" wrapText="1"/>
      <protection/>
    </xf>
    <xf numFmtId="0" fontId="3" fillId="34" borderId="0" xfId="299" applyFont="1" applyFill="1" applyBorder="1" applyAlignment="1">
      <alignment horizontal="left"/>
      <protection/>
    </xf>
    <xf numFmtId="0" fontId="19" fillId="0" borderId="57" xfId="296" applyFont="1" applyFill="1" applyBorder="1" applyAlignment="1">
      <alignment horizontal="center" vertical="center" wrapText="1"/>
      <protection/>
    </xf>
    <xf numFmtId="0" fontId="19" fillId="0" borderId="58" xfId="296" applyFont="1" applyFill="1" applyBorder="1" applyAlignment="1">
      <alignment horizontal="center" vertical="center" wrapText="1"/>
      <protection/>
    </xf>
    <xf numFmtId="0" fontId="19" fillId="0" borderId="60" xfId="296" applyFont="1" applyFill="1" applyBorder="1" applyAlignment="1">
      <alignment horizontal="center" vertical="center" wrapText="1"/>
      <protection/>
    </xf>
    <xf numFmtId="0" fontId="19" fillId="0" borderId="61" xfId="296" applyFont="1" applyFill="1" applyBorder="1" applyAlignment="1">
      <alignment horizontal="center" vertical="center" wrapText="1"/>
      <protection/>
    </xf>
    <xf numFmtId="0" fontId="19" fillId="0" borderId="55" xfId="296" applyFont="1" applyFill="1" applyBorder="1" applyAlignment="1">
      <alignment horizontal="center" vertical="center" wrapText="1"/>
      <protection/>
    </xf>
    <xf numFmtId="0" fontId="19" fillId="0" borderId="56" xfId="296" applyFont="1" applyFill="1" applyBorder="1" applyAlignment="1">
      <alignment horizontal="center" vertical="center" wrapText="1"/>
      <protection/>
    </xf>
    <xf numFmtId="172" fontId="3" fillId="0" borderId="17" xfId="51" applyNumberFormat="1" applyFont="1" applyFill="1" applyBorder="1" applyAlignment="1">
      <alignment horizontal="left" vertical="center" wrapText="1"/>
      <protection/>
    </xf>
    <xf numFmtId="0" fontId="3" fillId="0" borderId="0" xfId="299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0" xfId="299" applyFont="1" applyFill="1" applyBorder="1" applyAlignment="1">
      <alignment horizontal="left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8" fillId="0" borderId="21" xfId="52" applyNumberFormat="1" applyFont="1" applyFill="1" applyBorder="1" applyAlignment="1">
      <alignment horizontal="left" vertical="center" wrapText="1"/>
      <protection/>
    </xf>
    <xf numFmtId="0" fontId="20" fillId="0" borderId="21" xfId="0" applyNumberFormat="1" applyFont="1" applyFill="1" applyBorder="1" applyAlignment="1">
      <alignment horizontal="left" vertical="center" wrapText="1"/>
    </xf>
    <xf numFmtId="172" fontId="12" fillId="0" borderId="21" xfId="52" applyNumberFormat="1" applyFont="1" applyFill="1" applyBorder="1" applyAlignment="1">
      <alignment horizontal="left" vertical="center" wrapText="1"/>
      <protection/>
    </xf>
    <xf numFmtId="172" fontId="17" fillId="0" borderId="21" xfId="52" applyNumberFormat="1" applyFont="1" applyFill="1" applyBorder="1" applyAlignment="1">
      <alignment horizontal="center" vertical="center" wrapText="1"/>
      <protection/>
    </xf>
    <xf numFmtId="0" fontId="80" fillId="37" borderId="22" xfId="0" applyFont="1" applyFill="1" applyBorder="1" applyAlignment="1">
      <alignment horizontal="center" vertical="center"/>
    </xf>
    <xf numFmtId="0" fontId="80" fillId="37" borderId="23" xfId="0" applyFont="1" applyFill="1" applyBorder="1" applyAlignment="1">
      <alignment horizontal="center" vertical="center"/>
    </xf>
    <xf numFmtId="0" fontId="80" fillId="37" borderId="24" xfId="0" applyFont="1" applyFill="1" applyBorder="1" applyAlignment="1">
      <alignment horizontal="center" vertical="center"/>
    </xf>
    <xf numFmtId="0" fontId="87" fillId="0" borderId="12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right" vertical="center" wrapText="1"/>
    </xf>
    <xf numFmtId="0" fontId="87" fillId="0" borderId="13" xfId="0" applyFont="1" applyBorder="1" applyAlignment="1">
      <alignment horizontal="right" vertical="center" wrapText="1"/>
    </xf>
    <xf numFmtId="0" fontId="87" fillId="0" borderId="14" xfId="0" applyFont="1" applyBorder="1" applyAlignment="1">
      <alignment horizontal="right" vertical="center" wrapText="1"/>
    </xf>
    <xf numFmtId="0" fontId="87" fillId="38" borderId="12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9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right" vertical="center" wrapText="1"/>
    </xf>
    <xf numFmtId="0" fontId="87" fillId="39" borderId="12" xfId="0" applyFont="1" applyFill="1" applyBorder="1" applyAlignment="1">
      <alignment vertical="center" wrapText="1"/>
    </xf>
    <xf numFmtId="0" fontId="87" fillId="39" borderId="0" xfId="0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6" fillId="39" borderId="10" xfId="0" applyFont="1" applyFill="1" applyBorder="1" applyAlignment="1">
      <alignment horizontal="left" vertical="center" wrapText="1"/>
    </xf>
    <xf numFmtId="0" fontId="86" fillId="39" borderId="11" xfId="0" applyFont="1" applyFill="1" applyBorder="1" applyAlignment="1">
      <alignment horizontal="left" vertical="center" wrapText="1"/>
    </xf>
    <xf numFmtId="0" fontId="86" fillId="39" borderId="18" xfId="0" applyFont="1" applyFill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86" fillId="39" borderId="10" xfId="193" applyFont="1" applyFill="1" applyBorder="1" applyAlignment="1">
      <alignment horizontal="left" vertical="center" wrapText="1"/>
      <protection/>
    </xf>
    <xf numFmtId="0" fontId="86" fillId="39" borderId="11" xfId="193" applyFont="1" applyFill="1" applyBorder="1" applyAlignment="1">
      <alignment horizontal="left" vertical="center" wrapText="1"/>
      <protection/>
    </xf>
    <xf numFmtId="0" fontId="86" fillId="39" borderId="18" xfId="19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172" fontId="3" fillId="0" borderId="15" xfId="52" applyNumberFormat="1" applyFont="1" applyFill="1" applyBorder="1" applyAlignment="1">
      <alignment horizontal="left" vertical="center" wrapText="1"/>
      <protection/>
    </xf>
    <xf numFmtId="172" fontId="3" fillId="0" borderId="16" xfId="52" applyNumberFormat="1" applyFont="1" applyFill="1" applyBorder="1" applyAlignment="1">
      <alignment horizontal="left" vertical="center" wrapText="1"/>
      <protection/>
    </xf>
    <xf numFmtId="172" fontId="3" fillId="0" borderId="17" xfId="52" applyNumberFormat="1" applyFont="1" applyFill="1" applyBorder="1" applyAlignment="1">
      <alignment horizontal="left" vertical="center" wrapText="1"/>
      <protection/>
    </xf>
    <xf numFmtId="172" fontId="14" fillId="0" borderId="15" xfId="52" applyNumberFormat="1" applyFont="1" applyFill="1" applyBorder="1" applyAlignment="1">
      <alignment horizontal="left" vertical="center" wrapText="1"/>
      <protection/>
    </xf>
    <xf numFmtId="172" fontId="14" fillId="0" borderId="16" xfId="52" applyNumberFormat="1" applyFont="1" applyFill="1" applyBorder="1" applyAlignment="1">
      <alignment horizontal="left" vertical="center" wrapText="1"/>
      <protection/>
    </xf>
    <xf numFmtId="172" fontId="14" fillId="0" borderId="17" xfId="52" applyNumberFormat="1" applyFont="1" applyFill="1" applyBorder="1" applyAlignment="1">
      <alignment horizontal="left" vertical="center" wrapText="1"/>
      <protection/>
    </xf>
    <xf numFmtId="172" fontId="4" fillId="37" borderId="22" xfId="52" applyNumberFormat="1" applyFont="1" applyFill="1" applyBorder="1" applyAlignment="1">
      <alignment horizontal="center" vertical="center" wrapText="1"/>
      <protection/>
    </xf>
    <xf numFmtId="172" fontId="4" fillId="37" borderId="23" xfId="52" applyNumberFormat="1" applyFont="1" applyFill="1" applyBorder="1" applyAlignment="1">
      <alignment horizontal="center" vertical="center" wrapText="1"/>
      <protection/>
    </xf>
    <xf numFmtId="172" fontId="4" fillId="37" borderId="24" xfId="52" applyNumberFormat="1" applyFont="1" applyFill="1" applyBorder="1" applyAlignment="1">
      <alignment horizontal="center" vertical="center" wrapText="1"/>
      <protection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85" fillId="38" borderId="15" xfId="0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left" vertical="center" wrapText="1"/>
    </xf>
    <xf numFmtId="10" fontId="85" fillId="38" borderId="16" xfId="302" applyNumberFormat="1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right" vertical="center" wrapText="1"/>
    </xf>
    <xf numFmtId="0" fontId="85" fillId="38" borderId="17" xfId="0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left" vertical="center" wrapText="1"/>
    </xf>
    <xf numFmtId="0" fontId="83" fillId="34" borderId="0" xfId="0" applyFont="1" applyFill="1" applyBorder="1" applyAlignment="1">
      <alignment horizontal="center" vertical="top" wrapText="1"/>
    </xf>
    <xf numFmtId="2" fontId="83" fillId="34" borderId="22" xfId="0" applyNumberFormat="1" applyFont="1" applyFill="1" applyBorder="1" applyAlignment="1">
      <alignment horizontal="center" vertical="top" wrapText="1"/>
    </xf>
    <xf numFmtId="2" fontId="83" fillId="34" borderId="23" xfId="0" applyNumberFormat="1" applyFont="1" applyFill="1" applyBorder="1" applyAlignment="1">
      <alignment horizontal="center" vertical="top" wrapText="1"/>
    </xf>
    <xf numFmtId="2" fontId="83" fillId="34" borderId="24" xfId="0" applyNumberFormat="1" applyFont="1" applyFill="1" applyBorder="1" applyAlignment="1">
      <alignment horizontal="center" vertical="top" wrapText="1"/>
    </xf>
    <xf numFmtId="172" fontId="2" fillId="0" borderId="15" xfId="51" applyNumberFormat="1" applyFont="1" applyFill="1" applyBorder="1" applyAlignment="1">
      <alignment horizontal="left" vertical="center" wrapText="1"/>
      <protection/>
    </xf>
    <xf numFmtId="172" fontId="2" fillId="0" borderId="17" xfId="51" applyNumberFormat="1" applyFont="1" applyFill="1" applyBorder="1" applyAlignment="1">
      <alignment horizontal="left" vertical="center" wrapText="1"/>
      <protection/>
    </xf>
    <xf numFmtId="172" fontId="16" fillId="0" borderId="21" xfId="51" applyNumberFormat="1" applyFont="1" applyFill="1" applyBorder="1" applyAlignment="1">
      <alignment horizontal="left" vertical="center" wrapText="1"/>
      <protection/>
    </xf>
    <xf numFmtId="172" fontId="2" fillId="0" borderId="21" xfId="51" applyNumberFormat="1" applyFont="1" applyFill="1" applyBorder="1" applyAlignment="1">
      <alignment horizontal="left" vertical="center" wrapText="1"/>
      <protection/>
    </xf>
    <xf numFmtId="172" fontId="14" fillId="0" borderId="21" xfId="51" applyNumberFormat="1" applyFont="1" applyFill="1" applyBorder="1" applyAlignment="1">
      <alignment horizontal="center" vertical="center" wrapText="1"/>
      <protection/>
    </xf>
    <xf numFmtId="172" fontId="12" fillId="37" borderId="33" xfId="51" applyNumberFormat="1" applyFont="1" applyFill="1" applyBorder="1" applyAlignment="1">
      <alignment horizontal="center" vertical="center" wrapText="1"/>
      <protection/>
    </xf>
    <xf numFmtId="172" fontId="12" fillId="37" borderId="34" xfId="51" applyNumberFormat="1" applyFont="1" applyFill="1" applyBorder="1" applyAlignment="1">
      <alignment horizontal="center" vertical="center" wrapText="1"/>
      <protection/>
    </xf>
    <xf numFmtId="172" fontId="12" fillId="37" borderId="35" xfId="51" applyNumberFormat="1" applyFont="1" applyFill="1" applyBorder="1" applyAlignment="1">
      <alignment horizontal="center" vertical="center" wrapText="1"/>
      <protection/>
    </xf>
    <xf numFmtId="0" fontId="90" fillId="34" borderId="22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2" xfId="0" applyFont="1" applyFill="1" applyBorder="1" applyAlignment="1">
      <alignment horizontal="center" vertical="top" wrapText="1"/>
    </xf>
    <xf numFmtId="0" fontId="90" fillId="34" borderId="23" xfId="0" applyFont="1" applyFill="1" applyBorder="1" applyAlignment="1">
      <alignment horizontal="center" vertical="top" wrapText="1"/>
    </xf>
    <xf numFmtId="0" fontId="90" fillId="34" borderId="2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3" fillId="34" borderId="22" xfId="0" applyFont="1" applyFill="1" applyBorder="1" applyAlignment="1">
      <alignment horizontal="left" vertical="top" wrapText="1"/>
    </xf>
    <xf numFmtId="0" fontId="83" fillId="34" borderId="23" xfId="0" applyFont="1" applyFill="1" applyBorder="1" applyAlignment="1">
      <alignment horizontal="left" vertical="top" wrapText="1"/>
    </xf>
    <xf numFmtId="0" fontId="53" fillId="37" borderId="22" xfId="227" applyFont="1" applyFill="1" applyBorder="1" applyAlignment="1">
      <alignment horizontal="center" vertical="center"/>
      <protection/>
    </xf>
    <xf numFmtId="0" fontId="53" fillId="37" borderId="23" xfId="227" applyFont="1" applyFill="1" applyBorder="1" applyAlignment="1">
      <alignment horizontal="center" vertical="center"/>
      <protection/>
    </xf>
    <xf numFmtId="0" fontId="53" fillId="37" borderId="24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77" fillId="0" borderId="45" xfId="227" applyFont="1" applyBorder="1" applyAlignment="1">
      <alignment horizontal="center"/>
      <protection/>
    </xf>
    <xf numFmtId="0" fontId="77" fillId="0" borderId="62" xfId="227" applyFont="1" applyBorder="1" applyAlignment="1">
      <alignment horizontal="center"/>
      <protection/>
    </xf>
    <xf numFmtId="0" fontId="77" fillId="0" borderId="46" xfId="227" applyFont="1" applyBorder="1" applyAlignment="1">
      <alignment horizontal="center"/>
      <protection/>
    </xf>
    <xf numFmtId="0" fontId="0" fillId="0" borderId="21" xfId="227" applyFont="1" applyBorder="1" applyAlignment="1">
      <alignment horizontal="left"/>
      <protection/>
    </xf>
    <xf numFmtId="0" fontId="0" fillId="0" borderId="31" xfId="227" applyFont="1" applyBorder="1" applyAlignment="1">
      <alignment horizontal="left"/>
      <protection/>
    </xf>
    <xf numFmtId="0" fontId="77" fillId="0" borderId="34" xfId="227" applyFont="1" applyBorder="1" applyAlignment="1">
      <alignment horizontal="center"/>
      <protection/>
    </xf>
    <xf numFmtId="0" fontId="0" fillId="0" borderId="25" xfId="227" applyFont="1" applyBorder="1" applyAlignment="1">
      <alignment horizontal="center"/>
      <protection/>
    </xf>
    <xf numFmtId="0" fontId="0" fillId="0" borderId="0" xfId="227" applyFont="1" applyBorder="1" applyAlignment="1">
      <alignment horizontal="center"/>
      <protection/>
    </xf>
    <xf numFmtId="0" fontId="0" fillId="0" borderId="26" xfId="227" applyFont="1" applyBorder="1" applyAlignment="1">
      <alignment horizontal="center"/>
      <protection/>
    </xf>
    <xf numFmtId="0" fontId="0" fillId="0" borderId="15" xfId="227" applyFont="1" applyBorder="1" applyAlignment="1">
      <alignment horizontal="left"/>
      <protection/>
    </xf>
    <xf numFmtId="0" fontId="0" fillId="0" borderId="16" xfId="227" applyFont="1" applyBorder="1" applyAlignment="1">
      <alignment horizontal="left"/>
      <protection/>
    </xf>
    <xf numFmtId="0" fontId="0" fillId="0" borderId="17" xfId="227" applyFont="1" applyBorder="1" applyAlignment="1">
      <alignment horizontal="left"/>
      <protection/>
    </xf>
    <xf numFmtId="0" fontId="77" fillId="0" borderId="37" xfId="227" applyFont="1" applyBorder="1" applyAlignment="1">
      <alignment horizontal="center"/>
      <protection/>
    </xf>
    <xf numFmtId="0" fontId="77" fillId="0" borderId="63" xfId="227" applyFont="1" applyBorder="1" applyAlignment="1">
      <alignment horizontal="center" wrapText="1"/>
      <protection/>
    </xf>
    <xf numFmtId="0" fontId="77" fillId="0" borderId="64" xfId="227" applyFont="1" applyBorder="1" applyAlignment="1">
      <alignment horizontal="center" wrapText="1"/>
      <protection/>
    </xf>
    <xf numFmtId="0" fontId="77" fillId="0" borderId="65" xfId="227" applyFont="1" applyBorder="1" applyAlignment="1">
      <alignment horizontal="center" wrapText="1"/>
      <protection/>
    </xf>
    <xf numFmtId="0" fontId="0" fillId="0" borderId="15" xfId="227" applyFont="1" applyBorder="1" applyAlignment="1">
      <alignment horizontal="left" wrapText="1"/>
      <protection/>
    </xf>
    <xf numFmtId="0" fontId="0" fillId="0" borderId="16" xfId="227" applyFont="1" applyBorder="1" applyAlignment="1">
      <alignment horizontal="left" wrapText="1"/>
      <protection/>
    </xf>
    <xf numFmtId="0" fontId="0" fillId="0" borderId="17" xfId="227" applyFont="1" applyBorder="1" applyAlignment="1">
      <alignment horizontal="left" wrapText="1"/>
      <protection/>
    </xf>
    <xf numFmtId="0" fontId="0" fillId="0" borderId="66" xfId="227" applyFont="1" applyBorder="1" applyAlignment="1">
      <alignment horizontal="center"/>
      <protection/>
    </xf>
    <xf numFmtId="0" fontId="0" fillId="0" borderId="14" xfId="227" applyFont="1" applyBorder="1" applyAlignment="1">
      <alignment horizontal="center"/>
      <protection/>
    </xf>
    <xf numFmtId="0" fontId="0" fillId="0" borderId="67" xfId="227" applyFont="1" applyBorder="1" applyAlignment="1">
      <alignment horizontal="center"/>
      <protection/>
    </xf>
    <xf numFmtId="0" fontId="53" fillId="35" borderId="28" xfId="227" applyFont="1" applyFill="1" applyBorder="1" applyAlignment="1">
      <alignment horizontal="center"/>
      <protection/>
    </xf>
    <xf numFmtId="0" fontId="53" fillId="35" borderId="21" xfId="227" applyFont="1" applyFill="1" applyBorder="1" applyAlignment="1">
      <alignment horizontal="center"/>
      <protection/>
    </xf>
    <xf numFmtId="0" fontId="0" fillId="0" borderId="68" xfId="227" applyFont="1" applyBorder="1" applyAlignment="1">
      <alignment horizontal="center"/>
      <protection/>
    </xf>
    <xf numFmtId="0" fontId="0" fillId="0" borderId="64" xfId="227" applyFont="1" applyBorder="1" applyAlignment="1">
      <alignment horizontal="center"/>
      <protection/>
    </xf>
    <xf numFmtId="0" fontId="0" fillId="0" borderId="49" xfId="227" applyFont="1" applyBorder="1" applyAlignment="1">
      <alignment horizontal="center"/>
      <protection/>
    </xf>
    <xf numFmtId="172" fontId="16" fillId="0" borderId="15" xfId="51" applyNumberFormat="1" applyFont="1" applyFill="1" applyBorder="1" applyAlignment="1">
      <alignment horizontal="left" vertical="center" wrapText="1"/>
      <protection/>
    </xf>
    <xf numFmtId="172" fontId="16" fillId="0" borderId="16" xfId="51" applyNumberFormat="1" applyFont="1" applyFill="1" applyBorder="1" applyAlignment="1">
      <alignment horizontal="left" vertical="center" wrapText="1"/>
      <protection/>
    </xf>
    <xf numFmtId="172" fontId="16" fillId="0" borderId="17" xfId="51" applyNumberFormat="1" applyFont="1" applyFill="1" applyBorder="1" applyAlignment="1">
      <alignment horizontal="left" vertical="center" wrapText="1"/>
      <protection/>
    </xf>
    <xf numFmtId="172" fontId="4" fillId="0" borderId="13" xfId="51" applyNumberFormat="1" applyFont="1" applyFill="1" applyBorder="1" applyAlignment="1">
      <alignment horizontal="center" vertical="center" wrapText="1"/>
      <protection/>
    </xf>
    <xf numFmtId="172" fontId="4" fillId="0" borderId="14" xfId="51" applyNumberFormat="1" applyFont="1" applyFill="1" applyBorder="1" applyAlignment="1">
      <alignment horizontal="center" vertical="center" wrapText="1"/>
      <protection/>
    </xf>
    <xf numFmtId="172" fontId="4" fillId="0" borderId="20" xfId="51" applyNumberFormat="1" applyFont="1" applyFill="1" applyBorder="1" applyAlignment="1">
      <alignment horizontal="center" vertical="center" wrapText="1"/>
      <protection/>
    </xf>
    <xf numFmtId="172" fontId="2" fillId="0" borderId="16" xfId="51" applyNumberFormat="1" applyFont="1" applyFill="1" applyBorder="1" applyAlignment="1">
      <alignment horizontal="left" vertical="center" wrapText="1"/>
      <protection/>
    </xf>
    <xf numFmtId="172" fontId="2" fillId="0" borderId="13" xfId="51" applyNumberFormat="1" applyFont="1" applyFill="1" applyBorder="1" applyAlignment="1">
      <alignment horizontal="left" vertical="center" wrapText="1"/>
      <protection/>
    </xf>
    <xf numFmtId="172" fontId="2" fillId="0" borderId="14" xfId="51" applyNumberFormat="1" applyFont="1" applyFill="1" applyBorder="1" applyAlignment="1">
      <alignment horizontal="left" vertical="center" wrapText="1"/>
      <protection/>
    </xf>
    <xf numFmtId="172" fontId="2" fillId="0" borderId="20" xfId="51" applyNumberFormat="1" applyFont="1" applyFill="1" applyBorder="1" applyAlignment="1">
      <alignment horizontal="left" vertical="center" wrapText="1"/>
      <protection/>
    </xf>
    <xf numFmtId="4" fontId="6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</cellXfs>
  <cellStyles count="43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18" xfId="71"/>
    <cellStyle name="Normal 2 2 19" xfId="72"/>
    <cellStyle name="Normal 2 2 2" xfId="73"/>
    <cellStyle name="Normal 2 2 20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3" xfId="103"/>
    <cellStyle name="Normal 2 3 4" xfId="104"/>
    <cellStyle name="Normal 2 3 5" xfId="105"/>
    <cellStyle name="Normal 2 3 6" xfId="106"/>
    <cellStyle name="Normal 2 3 7" xfId="107"/>
    <cellStyle name="Normal 2 3 8" xfId="108"/>
    <cellStyle name="Normal 2 3 9" xfId="109"/>
    <cellStyle name="Normal 2 4" xfId="110"/>
    <cellStyle name="Normal 2 4 10" xfId="111"/>
    <cellStyle name="Normal 2 4 11" xfId="112"/>
    <cellStyle name="Normal 2 4 12" xfId="113"/>
    <cellStyle name="Normal 2 4 13" xfId="114"/>
    <cellStyle name="Normal 2 4 14" xfId="115"/>
    <cellStyle name="Normal 2 4 15" xfId="116"/>
    <cellStyle name="Normal 2 4 16" xfId="117"/>
    <cellStyle name="Normal 2 4 17" xfId="118"/>
    <cellStyle name="Normal 2 4 18" xfId="119"/>
    <cellStyle name="Normal 2 4 19" xfId="120"/>
    <cellStyle name="Normal 2 4 2" xfId="121"/>
    <cellStyle name="Normal 2 4 20" xfId="122"/>
    <cellStyle name="Normal 2 4 3" xfId="123"/>
    <cellStyle name="Normal 2 4 4" xfId="124"/>
    <cellStyle name="Normal 2 4 5" xfId="125"/>
    <cellStyle name="Normal 2 4 6" xfId="126"/>
    <cellStyle name="Normal 2 4 7" xfId="127"/>
    <cellStyle name="Normal 2 4 8" xfId="128"/>
    <cellStyle name="Normal 2 4 9" xfId="129"/>
    <cellStyle name="Normal 2 5" xfId="130"/>
    <cellStyle name="Normal 2 5 10" xfId="131"/>
    <cellStyle name="Normal 2 5 11" xfId="132"/>
    <cellStyle name="Normal 2 5 12" xfId="133"/>
    <cellStyle name="Normal 2 5 13" xfId="134"/>
    <cellStyle name="Normal 2 5 14" xfId="135"/>
    <cellStyle name="Normal 2 5 15" xfId="136"/>
    <cellStyle name="Normal 2 5 16" xfId="137"/>
    <cellStyle name="Normal 2 5 17" xfId="138"/>
    <cellStyle name="Normal 2 5 18" xfId="139"/>
    <cellStyle name="Normal 2 5 19" xfId="140"/>
    <cellStyle name="Normal 2 5 2" xfId="141"/>
    <cellStyle name="Normal 2 5 20" xfId="142"/>
    <cellStyle name="Normal 2 5 3" xfId="143"/>
    <cellStyle name="Normal 2 5 4" xfId="144"/>
    <cellStyle name="Normal 2 5 5" xfId="145"/>
    <cellStyle name="Normal 2 5 6" xfId="146"/>
    <cellStyle name="Normal 2 5 7" xfId="147"/>
    <cellStyle name="Normal 2 5 8" xfId="148"/>
    <cellStyle name="Normal 2 5 9" xfId="149"/>
    <cellStyle name="Normal 2 6" xfId="150"/>
    <cellStyle name="Normal 2 6 10" xfId="151"/>
    <cellStyle name="Normal 2 6 11" xfId="152"/>
    <cellStyle name="Normal 2 6 12" xfId="153"/>
    <cellStyle name="Normal 2 6 13" xfId="154"/>
    <cellStyle name="Normal 2 6 14" xfId="155"/>
    <cellStyle name="Normal 2 6 15" xfId="156"/>
    <cellStyle name="Normal 2 6 16" xfId="157"/>
    <cellStyle name="Normal 2 6 17" xfId="158"/>
    <cellStyle name="Normal 2 6 18" xfId="159"/>
    <cellStyle name="Normal 2 6 19" xfId="160"/>
    <cellStyle name="Normal 2 6 2" xfId="161"/>
    <cellStyle name="Normal 2 6 20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6 9" xfId="169"/>
    <cellStyle name="Normal 2 7" xfId="170"/>
    <cellStyle name="Normal 2 7 10" xfId="171"/>
    <cellStyle name="Normal 2 7 11" xfId="172"/>
    <cellStyle name="Normal 2 7 12" xfId="173"/>
    <cellStyle name="Normal 2 7 13" xfId="174"/>
    <cellStyle name="Normal 2 7 14" xfId="175"/>
    <cellStyle name="Normal 2 7 15" xfId="176"/>
    <cellStyle name="Normal 2 7 16" xfId="177"/>
    <cellStyle name="Normal 2 7 17" xfId="178"/>
    <cellStyle name="Normal 2 7 18" xfId="179"/>
    <cellStyle name="Normal 2 7 19" xfId="180"/>
    <cellStyle name="Normal 2 7 2" xfId="181"/>
    <cellStyle name="Normal 2 7 20" xfId="182"/>
    <cellStyle name="Normal 2 7 3" xfId="183"/>
    <cellStyle name="Normal 2 7 4" xfId="184"/>
    <cellStyle name="Normal 2 7 5" xfId="185"/>
    <cellStyle name="Normal 2 7 6" xfId="186"/>
    <cellStyle name="Normal 2 7 7" xfId="187"/>
    <cellStyle name="Normal 2 7 8" xfId="188"/>
    <cellStyle name="Normal 2 7 9" xfId="189"/>
    <cellStyle name="Normal 2 8" xfId="190"/>
    <cellStyle name="Normal 2 9" xfId="191"/>
    <cellStyle name="Normal 2_Planilha Valença" xfId="192"/>
    <cellStyle name="Normal 29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6" xfId="201"/>
    <cellStyle name="Normal 3 17" xfId="202"/>
    <cellStyle name="Normal 3 18" xfId="203"/>
    <cellStyle name="Normal 3 19" xfId="204"/>
    <cellStyle name="Normal 3 2" xfId="205"/>
    <cellStyle name="Normal 3 20" xfId="206"/>
    <cellStyle name="Normal 3 21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10" xfId="216"/>
    <cellStyle name="Normal 4 11" xfId="217"/>
    <cellStyle name="Normal 4 12" xfId="218"/>
    <cellStyle name="Normal 4 13" xfId="219"/>
    <cellStyle name="Normal 4 14" xfId="220"/>
    <cellStyle name="Normal 4 15" xfId="221"/>
    <cellStyle name="Normal 4 16" xfId="222"/>
    <cellStyle name="Normal 4 17" xfId="223"/>
    <cellStyle name="Normal 4 18" xfId="224"/>
    <cellStyle name="Normal 4 19" xfId="225"/>
    <cellStyle name="Normal 4 2" xfId="226"/>
    <cellStyle name="Normal 4 2 3 2" xfId="227"/>
    <cellStyle name="Normal 4 20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5" xfId="236"/>
    <cellStyle name="Normal 5 10" xfId="237"/>
    <cellStyle name="Normal 5 11" xfId="238"/>
    <cellStyle name="Normal 5 12" xfId="239"/>
    <cellStyle name="Normal 5 13" xfId="240"/>
    <cellStyle name="Normal 5 14" xfId="241"/>
    <cellStyle name="Normal 5 15" xfId="242"/>
    <cellStyle name="Normal 5 16" xfId="243"/>
    <cellStyle name="Normal 5 17" xfId="244"/>
    <cellStyle name="Normal 5 18" xfId="245"/>
    <cellStyle name="Normal 5 19" xfId="246"/>
    <cellStyle name="Normal 5 2" xfId="247"/>
    <cellStyle name="Normal 5 20" xfId="248"/>
    <cellStyle name="Normal 5 3" xfId="249"/>
    <cellStyle name="Normal 5 4" xfId="250"/>
    <cellStyle name="Normal 5 5" xfId="251"/>
    <cellStyle name="Normal 5 6" xfId="252"/>
    <cellStyle name="Normal 5 7" xfId="253"/>
    <cellStyle name="Normal 5 8" xfId="254"/>
    <cellStyle name="Normal 5 9" xfId="255"/>
    <cellStyle name="Normal 6" xfId="256"/>
    <cellStyle name="Normal 6 10" xfId="257"/>
    <cellStyle name="Normal 6 11" xfId="258"/>
    <cellStyle name="Normal 6 12" xfId="259"/>
    <cellStyle name="Normal 6 13" xfId="260"/>
    <cellStyle name="Normal 6 14" xfId="261"/>
    <cellStyle name="Normal 6 15" xfId="262"/>
    <cellStyle name="Normal 6 16" xfId="263"/>
    <cellStyle name="Normal 6 17" xfId="264"/>
    <cellStyle name="Normal 6 18" xfId="265"/>
    <cellStyle name="Normal 6 19" xfId="266"/>
    <cellStyle name="Normal 6 2" xfId="267"/>
    <cellStyle name="Normal 6 20" xfId="268"/>
    <cellStyle name="Normal 6 3" xfId="269"/>
    <cellStyle name="Normal 6 4" xfId="270"/>
    <cellStyle name="Normal 6 5" xfId="271"/>
    <cellStyle name="Normal 6 6" xfId="272"/>
    <cellStyle name="Normal 6 7" xfId="273"/>
    <cellStyle name="Normal 6 8" xfId="274"/>
    <cellStyle name="Normal 6 9" xfId="275"/>
    <cellStyle name="Normal 7" xfId="276"/>
    <cellStyle name="Normal 7 10" xfId="277"/>
    <cellStyle name="Normal 7 11" xfId="278"/>
    <cellStyle name="Normal 7 12" xfId="279"/>
    <cellStyle name="Normal 7 13" xfId="280"/>
    <cellStyle name="Normal 7 14" xfId="281"/>
    <cellStyle name="Normal 7 15" xfId="282"/>
    <cellStyle name="Normal 7 16" xfId="283"/>
    <cellStyle name="Normal 7 17" xfId="284"/>
    <cellStyle name="Normal 7 18" xfId="285"/>
    <cellStyle name="Normal 7 19" xfId="286"/>
    <cellStyle name="Normal 7 2" xfId="287"/>
    <cellStyle name="Normal 7 20" xfId="288"/>
    <cellStyle name="Normal 7 3" xfId="289"/>
    <cellStyle name="Normal 7 4" xfId="290"/>
    <cellStyle name="Normal 7 5" xfId="291"/>
    <cellStyle name="Normal 7 6" xfId="292"/>
    <cellStyle name="Normal 7 7" xfId="293"/>
    <cellStyle name="Normal 7 8" xfId="294"/>
    <cellStyle name="Normal 7 9" xfId="295"/>
    <cellStyle name="Normal 8" xfId="296"/>
    <cellStyle name="Normal 9" xfId="297"/>
    <cellStyle name="Normal_ORÇAMENTO-HAB" xfId="298"/>
    <cellStyle name="Normal_Planilha Elesbão Veloso - Urgência e Acesso Lavanderia" xfId="299"/>
    <cellStyle name="Nota" xfId="300"/>
    <cellStyle name="Percent" xfId="301"/>
    <cellStyle name="Porcentagem 2" xfId="302"/>
    <cellStyle name="Porcentagem 2 2" xfId="303"/>
    <cellStyle name="Porcentagem 2 3" xfId="304"/>
    <cellStyle name="Porcentagem 3" xfId="305"/>
    <cellStyle name="Saída" xfId="306"/>
    <cellStyle name="Comma [0]" xfId="307"/>
    <cellStyle name="Separador de milhares 10" xfId="308"/>
    <cellStyle name="Separador de milhares 11" xfId="309"/>
    <cellStyle name="Separador de milhares 2" xfId="310"/>
    <cellStyle name="Separador de milhares 2 10" xfId="311"/>
    <cellStyle name="Separador de milhares 2 11" xfId="312"/>
    <cellStyle name="Separador de milhares 2 12" xfId="313"/>
    <cellStyle name="Separador de milhares 2 13" xfId="314"/>
    <cellStyle name="Separador de milhares 2 14" xfId="315"/>
    <cellStyle name="Separador de milhares 2 15" xfId="316"/>
    <cellStyle name="Separador de milhares 2 16" xfId="317"/>
    <cellStyle name="Separador de milhares 2 17" xfId="318"/>
    <cellStyle name="Separador de milhares 2 18" xfId="319"/>
    <cellStyle name="Separador de milhares 2 19" xfId="320"/>
    <cellStyle name="Separador de milhares 2 2" xfId="321"/>
    <cellStyle name="Separador de milhares 2 20" xfId="322"/>
    <cellStyle name="Separador de milhares 2 21" xfId="323"/>
    <cellStyle name="Separador de milhares 2 3" xfId="324"/>
    <cellStyle name="Separador de milhares 2 4" xfId="325"/>
    <cellStyle name="Separador de milhares 2 5" xfId="326"/>
    <cellStyle name="Separador de milhares 2 6" xfId="327"/>
    <cellStyle name="Separador de milhares 2 7" xfId="328"/>
    <cellStyle name="Separador de milhares 2 8" xfId="329"/>
    <cellStyle name="Separador de milhares 2 9" xfId="330"/>
    <cellStyle name="Separador de milhares 29" xfId="331"/>
    <cellStyle name="Separador de milhares 3" xfId="332"/>
    <cellStyle name="Separador de milhares 3 10" xfId="333"/>
    <cellStyle name="Separador de milhares 3 11" xfId="334"/>
    <cellStyle name="Separador de milhares 3 12" xfId="335"/>
    <cellStyle name="Separador de milhares 3 13" xfId="336"/>
    <cellStyle name="Separador de milhares 3 14" xfId="337"/>
    <cellStyle name="Separador de milhares 3 15" xfId="338"/>
    <cellStyle name="Separador de milhares 3 16" xfId="339"/>
    <cellStyle name="Separador de milhares 3 17" xfId="340"/>
    <cellStyle name="Separador de milhares 3 18" xfId="341"/>
    <cellStyle name="Separador de milhares 3 19" xfId="342"/>
    <cellStyle name="Separador de milhares 3 2" xfId="343"/>
    <cellStyle name="Separador de milhares 3 20" xfId="344"/>
    <cellStyle name="Separador de milhares 3 3" xfId="345"/>
    <cellStyle name="Separador de milhares 3 4" xfId="346"/>
    <cellStyle name="Separador de milhares 3 5" xfId="347"/>
    <cellStyle name="Separador de milhares 3 6" xfId="348"/>
    <cellStyle name="Separador de milhares 3 7" xfId="349"/>
    <cellStyle name="Separador de milhares 3 8" xfId="350"/>
    <cellStyle name="Separador de milhares 3 9" xfId="351"/>
    <cellStyle name="Separador de milhares 4" xfId="352"/>
    <cellStyle name="Separador de milhares 4 10" xfId="353"/>
    <cellStyle name="Separador de milhares 4 11" xfId="354"/>
    <cellStyle name="Separador de milhares 4 12" xfId="355"/>
    <cellStyle name="Separador de milhares 4 13" xfId="356"/>
    <cellStyle name="Separador de milhares 4 14" xfId="357"/>
    <cellStyle name="Separador de milhares 4 15" xfId="358"/>
    <cellStyle name="Separador de milhares 4 16" xfId="359"/>
    <cellStyle name="Separador de milhares 4 17" xfId="360"/>
    <cellStyle name="Separador de milhares 4 18" xfId="361"/>
    <cellStyle name="Separador de milhares 4 19" xfId="362"/>
    <cellStyle name="Separador de milhares 4 2" xfId="363"/>
    <cellStyle name="Separador de milhares 4 20" xfId="364"/>
    <cellStyle name="Separador de milhares 4 3" xfId="365"/>
    <cellStyle name="Separador de milhares 4 4" xfId="366"/>
    <cellStyle name="Separador de milhares 4 5" xfId="367"/>
    <cellStyle name="Separador de milhares 4 6" xfId="368"/>
    <cellStyle name="Separador de milhares 4 7" xfId="369"/>
    <cellStyle name="Separador de milhares 4 8" xfId="370"/>
    <cellStyle name="Separador de milhares 4 9" xfId="371"/>
    <cellStyle name="Separador de milhares 5" xfId="372"/>
    <cellStyle name="Separador de milhares 5 10" xfId="373"/>
    <cellStyle name="Separador de milhares 5 11" xfId="374"/>
    <cellStyle name="Separador de milhares 5 12" xfId="375"/>
    <cellStyle name="Separador de milhares 5 13" xfId="376"/>
    <cellStyle name="Separador de milhares 5 14" xfId="377"/>
    <cellStyle name="Separador de milhares 5 15" xfId="378"/>
    <cellStyle name="Separador de milhares 5 16" xfId="379"/>
    <cellStyle name="Separador de milhares 5 17" xfId="380"/>
    <cellStyle name="Separador de milhares 5 18" xfId="381"/>
    <cellStyle name="Separador de milhares 5 19" xfId="382"/>
    <cellStyle name="Separador de milhares 5 2" xfId="383"/>
    <cellStyle name="Separador de milhares 5 20" xfId="384"/>
    <cellStyle name="Separador de milhares 5 3" xfId="385"/>
    <cellStyle name="Separador de milhares 5 4" xfId="386"/>
    <cellStyle name="Separador de milhares 5 5" xfId="387"/>
    <cellStyle name="Separador de milhares 5 6" xfId="388"/>
    <cellStyle name="Separador de milhares 5 7" xfId="389"/>
    <cellStyle name="Separador de milhares 5 8" xfId="390"/>
    <cellStyle name="Separador de milhares 5 9" xfId="391"/>
    <cellStyle name="Separador de milhares 6" xfId="392"/>
    <cellStyle name="Separador de milhares 6 10" xfId="393"/>
    <cellStyle name="Separador de milhares 6 11" xfId="394"/>
    <cellStyle name="Separador de milhares 6 12" xfId="395"/>
    <cellStyle name="Separador de milhares 6 13" xfId="396"/>
    <cellStyle name="Separador de milhares 6 14" xfId="397"/>
    <cellStyle name="Separador de milhares 6 15" xfId="398"/>
    <cellStyle name="Separador de milhares 6 16" xfId="399"/>
    <cellStyle name="Separador de milhares 6 17" xfId="400"/>
    <cellStyle name="Separador de milhares 6 18" xfId="401"/>
    <cellStyle name="Separador de milhares 6 19" xfId="402"/>
    <cellStyle name="Separador de milhares 6 2" xfId="403"/>
    <cellStyle name="Separador de milhares 6 20" xfId="404"/>
    <cellStyle name="Separador de milhares 6 3" xfId="405"/>
    <cellStyle name="Separador de milhares 6 4" xfId="406"/>
    <cellStyle name="Separador de milhares 6 5" xfId="407"/>
    <cellStyle name="Separador de milhares 6 6" xfId="408"/>
    <cellStyle name="Separador de milhares 6 7" xfId="409"/>
    <cellStyle name="Separador de milhares 6 8" xfId="410"/>
    <cellStyle name="Separador de milhares 6 9" xfId="411"/>
    <cellStyle name="Separador de milhares 7" xfId="412"/>
    <cellStyle name="Separador de milhares 7 10" xfId="413"/>
    <cellStyle name="Separador de milhares 7 11" xfId="414"/>
    <cellStyle name="Separador de milhares 7 12" xfId="415"/>
    <cellStyle name="Separador de milhares 7 13" xfId="416"/>
    <cellStyle name="Separador de milhares 7 14" xfId="417"/>
    <cellStyle name="Separador de milhares 7 15" xfId="418"/>
    <cellStyle name="Separador de milhares 7 16" xfId="419"/>
    <cellStyle name="Separador de milhares 7 17" xfId="420"/>
    <cellStyle name="Separador de milhares 7 18" xfId="421"/>
    <cellStyle name="Separador de milhares 7 19" xfId="422"/>
    <cellStyle name="Separador de milhares 7 2" xfId="423"/>
    <cellStyle name="Separador de milhares 7 20" xfId="424"/>
    <cellStyle name="Separador de milhares 7 3" xfId="425"/>
    <cellStyle name="Separador de milhares 7 4" xfId="426"/>
    <cellStyle name="Separador de milhares 7 5" xfId="427"/>
    <cellStyle name="Separador de milhares 7 6" xfId="428"/>
    <cellStyle name="Separador de milhares 7 7" xfId="429"/>
    <cellStyle name="Separador de milhares 7 8" xfId="430"/>
    <cellStyle name="Separador de milhares 7 9" xfId="431"/>
    <cellStyle name="Separador de milhares 8" xfId="432"/>
    <cellStyle name="Separador de milhares 9" xfId="433"/>
    <cellStyle name="Separador de milhares 9 2" xfId="434"/>
    <cellStyle name="Texto de Aviso" xfId="435"/>
    <cellStyle name="Texto Explicativo" xfId="436"/>
    <cellStyle name="Título" xfId="437"/>
    <cellStyle name="Título 1" xfId="438"/>
    <cellStyle name="Título 2" xfId="439"/>
    <cellStyle name="Título 3" xfId="440"/>
    <cellStyle name="Título 4" xfId="441"/>
    <cellStyle name="Total" xfId="442"/>
    <cellStyle name="Comma" xfId="443"/>
    <cellStyle name="Vírgula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2219325</xdr:colOff>
      <xdr:row>1</xdr:row>
      <xdr:rowOff>9525</xdr:rowOff>
    </xdr:from>
    <xdr:to>
      <xdr:col>4</xdr:col>
      <xdr:colOff>866775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33725" y="238125"/>
          <a:ext cx="443865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190500</xdr:colOff>
      <xdr:row>1</xdr:row>
      <xdr:rowOff>9525</xdr:rowOff>
    </xdr:from>
    <xdr:to>
      <xdr:col>2</xdr:col>
      <xdr:colOff>1695450</xdr:colOff>
      <xdr:row>6</xdr:row>
      <xdr:rowOff>200025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38125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</xdr:row>
      <xdr:rowOff>9525</xdr:rowOff>
    </xdr:from>
    <xdr:to>
      <xdr:col>4</xdr:col>
      <xdr:colOff>885825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09925" y="200025"/>
          <a:ext cx="265747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47625</xdr:rowOff>
    </xdr:from>
    <xdr:to>
      <xdr:col>2</xdr:col>
      <xdr:colOff>1581150</xdr:colOff>
      <xdr:row>6</xdr:row>
      <xdr:rowOff>200025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8125"/>
          <a:ext cx="1514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4</xdr:col>
      <xdr:colOff>3552825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81600" y="219075"/>
          <a:ext cx="4076700" cy="1343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2</xdr:col>
      <xdr:colOff>704850</xdr:colOff>
      <xdr:row>1</xdr:row>
      <xdr:rowOff>57150</xdr:rowOff>
    </xdr:from>
    <xdr:to>
      <xdr:col>2</xdr:col>
      <xdr:colOff>2219325</xdr:colOff>
      <xdr:row>6</xdr:row>
      <xdr:rowOff>152400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717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</xdr:row>
      <xdr:rowOff>0</xdr:rowOff>
    </xdr:from>
    <xdr:to>
      <xdr:col>3</xdr:col>
      <xdr:colOff>9525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19375" y="228600"/>
          <a:ext cx="25527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SAÚDE</a:t>
          </a:r>
        </a:p>
      </xdr:txBody>
    </xdr:sp>
    <xdr:clientData/>
  </xdr:twoCellAnchor>
  <xdr:twoCellAnchor editAs="oneCell">
    <xdr:from>
      <xdr:col>1</xdr:col>
      <xdr:colOff>533400</xdr:colOff>
      <xdr:row>1</xdr:row>
      <xdr:rowOff>114300</xdr:rowOff>
    </xdr:from>
    <xdr:to>
      <xdr:col>2</xdr:col>
      <xdr:colOff>790575</xdr:colOff>
      <xdr:row>6</xdr:row>
      <xdr:rowOff>190500</xdr:rowOff>
    </xdr:to>
    <xdr:pic>
      <xdr:nvPicPr>
        <xdr:cNvPr id="2" name="Imagem 4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290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27</xdr:row>
      <xdr:rowOff>142875</xdr:rowOff>
    </xdr:from>
    <xdr:to>
      <xdr:col>6</xdr:col>
      <xdr:colOff>209550</xdr:colOff>
      <xdr:row>37</xdr:row>
      <xdr:rowOff>228600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3527" b="-29992"/>
        <a:stretch>
          <a:fillRect/>
        </a:stretch>
      </xdr:blipFill>
      <xdr:spPr>
        <a:xfrm>
          <a:off x="1600200" y="5219700"/>
          <a:ext cx="5514975" cy="2371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66675</xdr:colOff>
      <xdr:row>73</xdr:row>
      <xdr:rowOff>104775</xdr:rowOff>
    </xdr:from>
    <xdr:to>
      <xdr:col>17</xdr:col>
      <xdr:colOff>304800</xdr:colOff>
      <xdr:row>104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916275"/>
          <a:ext cx="80486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114300</xdr:rowOff>
    </xdr:from>
    <xdr:to>
      <xdr:col>21</xdr:col>
      <xdr:colOff>190500</xdr:colOff>
      <xdr:row>43</xdr:row>
      <xdr:rowOff>57150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4791075"/>
          <a:ext cx="74199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133350</xdr:rowOff>
    </xdr:from>
    <xdr:to>
      <xdr:col>21</xdr:col>
      <xdr:colOff>190500</xdr:colOff>
      <xdr:row>23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1085850"/>
          <a:ext cx="7439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45</xdr:row>
      <xdr:rowOff>114300</xdr:rowOff>
    </xdr:from>
    <xdr:to>
      <xdr:col>21</xdr:col>
      <xdr:colOff>161925</xdr:colOff>
      <xdr:row>58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05925" y="9391650"/>
          <a:ext cx="7400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2009775</xdr:colOff>
      <xdr:row>2</xdr:row>
      <xdr:rowOff>9525</xdr:rowOff>
    </xdr:from>
    <xdr:to>
      <xdr:col>3</xdr:col>
      <xdr:colOff>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19375" y="390525"/>
          <a:ext cx="1800225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276225</xdr:colOff>
      <xdr:row>2</xdr:row>
      <xdr:rowOff>47625</xdr:rowOff>
    </xdr:from>
    <xdr:to>
      <xdr:col>1</xdr:col>
      <xdr:colOff>1790700</xdr:colOff>
      <xdr:row>7</xdr:row>
      <xdr:rowOff>180975</xdr:rowOff>
    </xdr:to>
    <xdr:pic>
      <xdr:nvPicPr>
        <xdr:cNvPr id="7" name="Imagem 9" descr="C:\Users\SESAPI\Desktop\brasao-governo-do-piaui20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428625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2</xdr:col>
      <xdr:colOff>533400</xdr:colOff>
      <xdr:row>6</xdr:row>
      <xdr:rowOff>104775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38125"/>
          <a:ext cx="1190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352"/>
  <sheetViews>
    <sheetView showGridLines="0" view="pageBreakPreview" zoomScale="87" zoomScaleSheetLayoutView="87" zoomScalePageLayoutView="0" workbookViewId="0" topLeftCell="A13">
      <pane ySplit="1275" topLeftCell="A331" activePane="bottomLeft" state="split"/>
      <selection pane="topLeft" activeCell="M14" sqref="M14"/>
      <selection pane="bottomLeft" activeCell="C336" sqref="C336"/>
    </sheetView>
  </sheetViews>
  <sheetFormatPr defaultColWidth="9.140625" defaultRowHeight="18" customHeight="1"/>
  <cols>
    <col min="1" max="1" width="4.7109375" style="1" customWidth="1"/>
    <col min="2" max="2" width="9.00390625" style="3" customWidth="1"/>
    <col min="3" max="3" width="71.28125" style="1" customWidth="1"/>
    <col min="4" max="4" width="15.57421875" style="1" customWidth="1"/>
    <col min="5" max="5" width="13.140625" style="1" customWidth="1"/>
    <col min="6" max="6" width="10.28125" style="2" customWidth="1"/>
    <col min="7" max="7" width="15.140625" style="18" customWidth="1"/>
    <col min="8" max="8" width="14.00390625" style="25" customWidth="1"/>
    <col min="9" max="10" width="17.7109375" style="18" customWidth="1"/>
    <col min="11" max="11" width="12.57421875" style="16" customWidth="1"/>
    <col min="12" max="12" width="12.7109375" style="14" customWidth="1"/>
    <col min="13" max="13" width="41.57421875" style="1" customWidth="1"/>
    <col min="14" max="14" width="13.28125" style="1" bestFit="1" customWidth="1"/>
    <col min="15" max="16384" width="9.140625" style="1" customWidth="1"/>
  </cols>
  <sheetData>
    <row r="2" spans="2:12" ht="18" customHeight="1">
      <c r="B2" s="5"/>
      <c r="C2" s="6"/>
      <c r="D2" s="6"/>
      <c r="E2" s="6"/>
      <c r="F2" s="782" t="s">
        <v>47</v>
      </c>
      <c r="G2" s="782"/>
      <c r="H2" s="782"/>
      <c r="I2" s="782"/>
      <c r="J2" s="782"/>
      <c r="K2" s="782"/>
      <c r="L2" s="782"/>
    </row>
    <row r="3" spans="2:12" ht="18" customHeight="1">
      <c r="B3" s="7"/>
      <c r="C3" s="8"/>
      <c r="D3" s="8"/>
      <c r="E3" s="8"/>
      <c r="F3" s="782"/>
      <c r="G3" s="782"/>
      <c r="H3" s="782"/>
      <c r="I3" s="782"/>
      <c r="J3" s="782"/>
      <c r="K3" s="782"/>
      <c r="L3" s="782"/>
    </row>
    <row r="4" spans="2:12" ht="18" customHeight="1">
      <c r="B4" s="7"/>
      <c r="C4" s="8"/>
      <c r="D4" s="8"/>
      <c r="E4" s="8"/>
      <c r="F4" s="783" t="s">
        <v>48</v>
      </c>
      <c r="G4" s="783"/>
      <c r="H4" s="783"/>
      <c r="I4" s="783"/>
      <c r="J4" s="783"/>
      <c r="K4" s="783"/>
      <c r="L4" s="783"/>
    </row>
    <row r="5" spans="2:12" ht="18" customHeight="1">
      <c r="B5" s="7"/>
      <c r="C5" s="8"/>
      <c r="D5" s="8"/>
      <c r="E5" s="8"/>
      <c r="F5" s="783"/>
      <c r="G5" s="783"/>
      <c r="H5" s="783"/>
      <c r="I5" s="783"/>
      <c r="J5" s="783"/>
      <c r="K5" s="783"/>
      <c r="L5" s="783"/>
    </row>
    <row r="6" spans="2:12" ht="18" customHeight="1">
      <c r="B6" s="7"/>
      <c r="C6" s="8"/>
      <c r="D6" s="8"/>
      <c r="E6" s="8"/>
      <c r="F6" s="784" t="s">
        <v>35</v>
      </c>
      <c r="G6" s="784"/>
      <c r="H6" s="784"/>
      <c r="I6" s="784"/>
      <c r="J6" s="784"/>
      <c r="K6" s="784"/>
      <c r="L6" s="784"/>
    </row>
    <row r="7" spans="2:12" ht="18" customHeight="1">
      <c r="B7" s="9"/>
      <c r="C7" s="10"/>
      <c r="D7" s="10"/>
      <c r="E7" s="10"/>
      <c r="F7" s="784"/>
      <c r="G7" s="784"/>
      <c r="H7" s="784"/>
      <c r="I7" s="784"/>
      <c r="J7" s="784"/>
      <c r="K7" s="784"/>
      <c r="L7" s="784"/>
    </row>
    <row r="8" spans="2:12" ht="4.5" customHeight="1">
      <c r="B8" s="11"/>
      <c r="C8" s="12"/>
      <c r="D8" s="12"/>
      <c r="E8" s="12"/>
      <c r="F8" s="11"/>
      <c r="G8" s="17"/>
      <c r="H8" s="23"/>
      <c r="I8" s="17"/>
      <c r="J8" s="17"/>
      <c r="K8" s="15"/>
      <c r="L8" s="13"/>
    </row>
    <row r="9" spans="2:12" ht="24" customHeight="1">
      <c r="B9" s="774" t="s">
        <v>104</v>
      </c>
      <c r="C9" s="775"/>
      <c r="D9" s="775"/>
      <c r="E9" s="775"/>
      <c r="F9" s="774" t="s">
        <v>1133</v>
      </c>
      <c r="G9" s="775"/>
      <c r="H9" s="775"/>
      <c r="I9" s="775"/>
      <c r="J9" s="775"/>
      <c r="K9" s="775"/>
      <c r="L9" s="776"/>
    </row>
    <row r="10" spans="2:12" ht="24" customHeight="1">
      <c r="B10" s="774" t="s">
        <v>103</v>
      </c>
      <c r="C10" s="775"/>
      <c r="D10" s="775"/>
      <c r="E10" s="775"/>
      <c r="F10" s="777" t="s">
        <v>595</v>
      </c>
      <c r="G10" s="778"/>
      <c r="H10" s="778"/>
      <c r="I10" s="778"/>
      <c r="J10" s="778"/>
      <c r="K10" s="778"/>
      <c r="L10" s="779"/>
    </row>
    <row r="11" spans="2:12" s="4" customFormat="1" ht="4.5" customHeight="1" thickBot="1">
      <c r="B11" s="769"/>
      <c r="C11" s="770"/>
      <c r="D11" s="182"/>
      <c r="E11" s="182"/>
      <c r="F11" s="181"/>
      <c r="G11" s="169"/>
      <c r="H11" s="24"/>
      <c r="I11" s="169"/>
      <c r="J11" s="169"/>
      <c r="K11" s="170"/>
      <c r="L11" s="171"/>
    </row>
    <row r="12" spans="2:12" ht="24.75" customHeight="1" thickBot="1">
      <c r="B12" s="771" t="s">
        <v>31</v>
      </c>
      <c r="C12" s="772"/>
      <c r="D12" s="772"/>
      <c r="E12" s="772"/>
      <c r="F12" s="772"/>
      <c r="G12" s="772"/>
      <c r="H12" s="772"/>
      <c r="I12" s="772"/>
      <c r="J12" s="772"/>
      <c r="K12" s="772"/>
      <c r="L12" s="773"/>
    </row>
    <row r="13" ht="4.5" customHeight="1" thickBot="1"/>
    <row r="14" spans="2:13" ht="30" customHeight="1" thickBot="1">
      <c r="B14" s="792" t="s">
        <v>2</v>
      </c>
      <c r="C14" s="795" t="s">
        <v>3</v>
      </c>
      <c r="D14" s="795" t="s">
        <v>40</v>
      </c>
      <c r="E14" s="780" t="s">
        <v>41</v>
      </c>
      <c r="F14" s="795" t="s">
        <v>4</v>
      </c>
      <c r="G14" s="797" t="s">
        <v>5</v>
      </c>
      <c r="H14" s="799" t="s">
        <v>14</v>
      </c>
      <c r="I14" s="549" t="s">
        <v>81</v>
      </c>
      <c r="J14" s="785" t="s">
        <v>44</v>
      </c>
      <c r="K14" s="785" t="s">
        <v>45</v>
      </c>
      <c r="L14" s="787" t="s">
        <v>36</v>
      </c>
      <c r="M14" s="989">
        <f>K341</f>
        <v>882286.35</v>
      </c>
    </row>
    <row r="15" spans="2:12" ht="24" customHeight="1" thickBot="1">
      <c r="B15" s="793"/>
      <c r="C15" s="796"/>
      <c r="D15" s="796"/>
      <c r="E15" s="781"/>
      <c r="F15" s="796"/>
      <c r="G15" s="798"/>
      <c r="H15" s="800"/>
      <c r="I15" s="550">
        <f>BDI!D46</f>
        <v>24.93</v>
      </c>
      <c r="J15" s="786"/>
      <c r="K15" s="786"/>
      <c r="L15" s="788"/>
    </row>
    <row r="16" spans="2:12" ht="4.5" customHeight="1" thickBot="1">
      <c r="B16" s="193"/>
      <c r="C16" s="194"/>
      <c r="D16" s="194"/>
      <c r="E16" s="194"/>
      <c r="F16" s="195"/>
      <c r="G16" s="196"/>
      <c r="H16" s="197"/>
      <c r="I16" s="196"/>
      <c r="J16" s="196"/>
      <c r="K16" s="198"/>
      <c r="L16" s="199"/>
    </row>
    <row r="17" spans="2:12" ht="18" customHeight="1" thickBot="1">
      <c r="B17" s="553" t="s">
        <v>6</v>
      </c>
      <c r="C17" s="554" t="s">
        <v>7</v>
      </c>
      <c r="D17" s="555"/>
      <c r="E17" s="555"/>
      <c r="F17" s="556"/>
      <c r="G17" s="557"/>
      <c r="H17" s="557"/>
      <c r="I17" s="557"/>
      <c r="J17" s="558"/>
      <c r="K17" s="559">
        <f>SUM(J18:J24)</f>
        <v>10115.21</v>
      </c>
      <c r="L17" s="560">
        <f>K17/$K$341</f>
        <v>0.011464769912851988</v>
      </c>
    </row>
    <row r="18" spans="2:12" s="19" customFormat="1" ht="18" customHeight="1">
      <c r="B18" s="240" t="s">
        <v>603</v>
      </c>
      <c r="C18" s="551" t="s">
        <v>32</v>
      </c>
      <c r="D18" s="552" t="s">
        <v>42</v>
      </c>
      <c r="E18" s="552" t="s">
        <v>43</v>
      </c>
      <c r="F18" s="241" t="s">
        <v>0</v>
      </c>
      <c r="G18" s="202" t="s">
        <v>239</v>
      </c>
      <c r="H18" s="233">
        <v>216.61</v>
      </c>
      <c r="I18" s="202">
        <f>ROUND(H18*($I$15/100+1),2)</f>
        <v>270.61</v>
      </c>
      <c r="J18" s="202">
        <f>ROUND(G18*I18,2)</f>
        <v>811.83</v>
      </c>
      <c r="K18" s="407"/>
      <c r="L18" s="408"/>
    </row>
    <row r="19" spans="2:12" s="19" customFormat="1" ht="50.25" customHeight="1">
      <c r="B19" s="200" t="s">
        <v>604</v>
      </c>
      <c r="C19" s="324" t="s">
        <v>231</v>
      </c>
      <c r="D19" s="201" t="s">
        <v>42</v>
      </c>
      <c r="E19" s="201" t="s">
        <v>226</v>
      </c>
      <c r="F19" s="203" t="s">
        <v>0</v>
      </c>
      <c r="G19" s="204" t="s">
        <v>240</v>
      </c>
      <c r="H19" s="205">
        <v>281.1</v>
      </c>
      <c r="I19" s="202">
        <f>ROUND(H19*($I$15/100+1),2)</f>
        <v>351.18</v>
      </c>
      <c r="J19" s="202">
        <f>ROUND(G19*I19,2)</f>
        <v>2809.44</v>
      </c>
      <c r="K19" s="206"/>
      <c r="L19" s="207"/>
    </row>
    <row r="20" spans="2:12" s="19" customFormat="1" ht="36.75" customHeight="1">
      <c r="B20" s="200" t="s">
        <v>605</v>
      </c>
      <c r="C20" s="247" t="s">
        <v>230</v>
      </c>
      <c r="D20" s="201" t="s">
        <v>42</v>
      </c>
      <c r="E20" s="201" t="s">
        <v>227</v>
      </c>
      <c r="F20" s="203" t="s">
        <v>1</v>
      </c>
      <c r="G20" s="204" t="s">
        <v>241</v>
      </c>
      <c r="H20" s="205">
        <v>1232.34</v>
      </c>
      <c r="I20" s="202">
        <f>ROUND(H20*($I$15/100+1),2)</f>
        <v>1539.56</v>
      </c>
      <c r="J20" s="202">
        <f>ROUND(G20*I20,2)</f>
        <v>1539.56</v>
      </c>
      <c r="K20" s="206"/>
      <c r="L20" s="207"/>
    </row>
    <row r="21" spans="2:12" s="19" customFormat="1" ht="34.5" customHeight="1">
      <c r="B21" s="358" t="s">
        <v>606</v>
      </c>
      <c r="C21" s="455" t="s">
        <v>232</v>
      </c>
      <c r="D21" s="360" t="s">
        <v>228</v>
      </c>
      <c r="E21" s="360">
        <v>450102</v>
      </c>
      <c r="F21" s="216" t="s">
        <v>1</v>
      </c>
      <c r="G21" s="239" t="s">
        <v>241</v>
      </c>
      <c r="H21" s="235">
        <v>729.45</v>
      </c>
      <c r="I21" s="362">
        <f>ROUND(H21*($I$15/100+1),2)</f>
        <v>911.3</v>
      </c>
      <c r="J21" s="362">
        <f>ROUND(G21*I21,2)</f>
        <v>911.3</v>
      </c>
      <c r="K21" s="400"/>
      <c r="L21" s="238"/>
    </row>
    <row r="22" spans="2:12" s="19" customFormat="1" ht="30">
      <c r="B22" s="200" t="s">
        <v>607</v>
      </c>
      <c r="C22" s="324" t="s">
        <v>477</v>
      </c>
      <c r="D22" s="201" t="s">
        <v>42</v>
      </c>
      <c r="E22" s="201" t="s">
        <v>478</v>
      </c>
      <c r="F22" s="203" t="s">
        <v>0</v>
      </c>
      <c r="G22" s="204" t="s">
        <v>242</v>
      </c>
      <c r="H22" s="352">
        <v>6.89</v>
      </c>
      <c r="I22" s="204">
        <f>ROUND(H22*($I$15/100+1),2)</f>
        <v>8.61</v>
      </c>
      <c r="J22" s="204">
        <f>ROUND(G22*I22,2)</f>
        <v>3219.19</v>
      </c>
      <c r="K22" s="211"/>
      <c r="L22" s="207"/>
    </row>
    <row r="23" spans="2:12" s="19" customFormat="1" ht="15.75">
      <c r="B23" s="571" t="s">
        <v>1175</v>
      </c>
      <c r="C23" s="572" t="s">
        <v>766</v>
      </c>
      <c r="D23" s="573"/>
      <c r="E23" s="574"/>
      <c r="F23" s="575"/>
      <c r="G23" s="576"/>
      <c r="H23" s="577"/>
      <c r="I23" s="581"/>
      <c r="J23" s="582"/>
      <c r="K23" s="583"/>
      <c r="L23" s="580"/>
    </row>
    <row r="24" spans="2:12" s="19" customFormat="1" ht="30.75" thickBot="1">
      <c r="B24" s="561" t="s">
        <v>1176</v>
      </c>
      <c r="C24" s="324" t="s">
        <v>477</v>
      </c>
      <c r="D24" s="201" t="s">
        <v>42</v>
      </c>
      <c r="E24" s="201" t="s">
        <v>478</v>
      </c>
      <c r="F24" s="203" t="s">
        <v>0</v>
      </c>
      <c r="G24" s="565">
        <v>95.69</v>
      </c>
      <c r="H24" s="352">
        <v>6.89</v>
      </c>
      <c r="I24" s="204">
        <f>ROUND(H24*($I$15/100+1),2)</f>
        <v>8.61</v>
      </c>
      <c r="J24" s="204">
        <f>ROUND(G24*I24,2)</f>
        <v>823.89</v>
      </c>
      <c r="K24" s="741"/>
      <c r="L24" s="567"/>
    </row>
    <row r="25" spans="2:12" s="19" customFormat="1" ht="16.5" thickBot="1">
      <c r="B25" s="553" t="s">
        <v>65</v>
      </c>
      <c r="C25" s="554" t="s">
        <v>1092</v>
      </c>
      <c r="D25" s="555"/>
      <c r="E25" s="555"/>
      <c r="F25" s="556"/>
      <c r="G25" s="557"/>
      <c r="H25" s="557"/>
      <c r="I25" s="557"/>
      <c r="J25" s="558"/>
      <c r="K25" s="559">
        <f>SUM(J26:J30)</f>
        <v>6241.13</v>
      </c>
      <c r="L25" s="560">
        <f>K25/$K$341</f>
        <v>0.0070738145274490535</v>
      </c>
    </row>
    <row r="26" spans="2:12" s="19" customFormat="1" ht="15.75">
      <c r="B26" s="713" t="s">
        <v>608</v>
      </c>
      <c r="C26" s="714" t="s">
        <v>979</v>
      </c>
      <c r="D26" s="715" t="s">
        <v>42</v>
      </c>
      <c r="E26" s="715" t="s">
        <v>980</v>
      </c>
      <c r="F26" s="277" t="s">
        <v>18</v>
      </c>
      <c r="G26" s="362">
        <f>'Memorial de Cálculo'!L21</f>
        <v>56.2815</v>
      </c>
      <c r="H26" s="471">
        <v>56.75</v>
      </c>
      <c r="I26" s="362">
        <f>ROUND(H26*($I$15/100+1),2)</f>
        <v>70.9</v>
      </c>
      <c r="J26" s="362">
        <f>ROUND(G26*I26,2)</f>
        <v>3990.36</v>
      </c>
      <c r="K26" s="707"/>
      <c r="L26" s="716"/>
    </row>
    <row r="27" spans="2:12" s="19" customFormat="1" ht="15.75">
      <c r="B27" s="453" t="s">
        <v>609</v>
      </c>
      <c r="C27" s="646" t="s">
        <v>1093</v>
      </c>
      <c r="D27" s="715" t="s">
        <v>42</v>
      </c>
      <c r="E27" s="360">
        <v>72224</v>
      </c>
      <c r="F27" s="216" t="s">
        <v>0</v>
      </c>
      <c r="G27" s="239">
        <f>'Memorial de Cálculo'!L24</f>
        <v>38.18</v>
      </c>
      <c r="H27" s="472">
        <v>6.03</v>
      </c>
      <c r="I27" s="239">
        <f>ROUND(H27*($I$15/100+1),2)</f>
        <v>7.53</v>
      </c>
      <c r="J27" s="239">
        <f>ROUND(G27*I27,2)</f>
        <v>287.5</v>
      </c>
      <c r="K27" s="717"/>
      <c r="L27" s="469"/>
    </row>
    <row r="28" spans="2:12" s="19" customFormat="1" ht="15.75">
      <c r="B28" s="453" t="s">
        <v>610</v>
      </c>
      <c r="C28" s="646" t="s">
        <v>1128</v>
      </c>
      <c r="D28" s="715" t="s">
        <v>42</v>
      </c>
      <c r="E28" s="718">
        <v>85373</v>
      </c>
      <c r="F28" s="216" t="s">
        <v>0</v>
      </c>
      <c r="G28" s="239">
        <f>'Memorial de Cálculo'!L27</f>
        <v>38.18</v>
      </c>
      <c r="H28" s="472">
        <v>3.39</v>
      </c>
      <c r="I28" s="239">
        <f>ROUND(H28*($I$15/100+1),2)</f>
        <v>4.24</v>
      </c>
      <c r="J28" s="239">
        <f>ROUND(G28*I28,2)</f>
        <v>161.88</v>
      </c>
      <c r="K28" s="717"/>
      <c r="L28" s="469"/>
    </row>
    <row r="29" spans="2:12" s="19" customFormat="1" ht="15.75">
      <c r="B29" s="453" t="s">
        <v>611</v>
      </c>
      <c r="C29" s="646" t="s">
        <v>1094</v>
      </c>
      <c r="D29" s="715" t="s">
        <v>42</v>
      </c>
      <c r="E29" s="718">
        <v>85370</v>
      </c>
      <c r="F29" s="216" t="s">
        <v>18</v>
      </c>
      <c r="G29" s="239">
        <f>'Memorial de Cálculo'!L30</f>
        <v>6.263000000000001</v>
      </c>
      <c r="H29" s="472">
        <v>154.4</v>
      </c>
      <c r="I29" s="239">
        <f>ROUND(H29*($I$15/100+1),2)</f>
        <v>192.89</v>
      </c>
      <c r="J29" s="239">
        <f>ROUND(G29*I29,2)</f>
        <v>1208.07</v>
      </c>
      <c r="K29" s="717"/>
      <c r="L29" s="469"/>
    </row>
    <row r="30" spans="2:12" s="19" customFormat="1" ht="16.5" thickBot="1">
      <c r="B30" s="453" t="s">
        <v>612</v>
      </c>
      <c r="C30" s="719" t="s">
        <v>765</v>
      </c>
      <c r="D30" s="452" t="s">
        <v>46</v>
      </c>
      <c r="E30" s="452" t="s">
        <v>981</v>
      </c>
      <c r="F30" s="454" t="s">
        <v>18</v>
      </c>
      <c r="G30" s="456">
        <f>'Memorial de Cálculo'!L33</f>
        <v>38.18</v>
      </c>
      <c r="H30" s="720">
        <v>12.44</v>
      </c>
      <c r="I30" s="456">
        <f>ROUND(H30*($I$15/100+1),2)</f>
        <v>15.54</v>
      </c>
      <c r="J30" s="456">
        <f>ROUND(G30*I30,2)</f>
        <v>593.32</v>
      </c>
      <c r="K30" s="594"/>
      <c r="L30" s="469"/>
    </row>
    <row r="31" spans="2:12" ht="18" customHeight="1" thickBot="1">
      <c r="B31" s="568" t="s">
        <v>8</v>
      </c>
      <c r="C31" s="554" t="s">
        <v>19</v>
      </c>
      <c r="D31" s="555"/>
      <c r="E31" s="569"/>
      <c r="F31" s="556"/>
      <c r="G31" s="557"/>
      <c r="H31" s="557"/>
      <c r="I31" s="557"/>
      <c r="J31" s="558"/>
      <c r="K31" s="570">
        <f>SUM(J32:J50)</f>
        <v>142439.42000000004</v>
      </c>
      <c r="L31" s="560">
        <f>K31/$K$341</f>
        <v>0.16144352680963503</v>
      </c>
    </row>
    <row r="32" spans="2:12" ht="30">
      <c r="B32" s="240" t="s">
        <v>613</v>
      </c>
      <c r="C32" s="551" t="s">
        <v>229</v>
      </c>
      <c r="D32" s="552" t="s">
        <v>42</v>
      </c>
      <c r="E32" s="552" t="s">
        <v>236</v>
      </c>
      <c r="F32" s="241" t="s">
        <v>18</v>
      </c>
      <c r="G32" s="202" t="s">
        <v>244</v>
      </c>
      <c r="H32" s="233">
        <v>35.2</v>
      </c>
      <c r="I32" s="202">
        <f>ROUND(H32*($I$15/100+1),2)</f>
        <v>43.98</v>
      </c>
      <c r="J32" s="202">
        <f>ROUND(G32*I32,2)</f>
        <v>4683.87</v>
      </c>
      <c r="K32" s="407"/>
      <c r="L32" s="408"/>
    </row>
    <row r="33" spans="2:12" ht="15.75">
      <c r="B33" s="240" t="s">
        <v>772</v>
      </c>
      <c r="C33" s="324" t="s">
        <v>234</v>
      </c>
      <c r="D33" s="201" t="s">
        <v>42</v>
      </c>
      <c r="E33" s="201">
        <v>5622</v>
      </c>
      <c r="F33" s="203" t="s">
        <v>0</v>
      </c>
      <c r="G33" s="204" t="s">
        <v>243</v>
      </c>
      <c r="H33" s="205">
        <v>3.31</v>
      </c>
      <c r="I33" s="202">
        <f>ROUND(H33*($I$15/100+1),2)</f>
        <v>4.14</v>
      </c>
      <c r="J33" s="202">
        <f>ROUND(G33*I33,2)</f>
        <v>358.69</v>
      </c>
      <c r="K33" s="211"/>
      <c r="L33" s="207"/>
    </row>
    <row r="34" spans="2:12" s="19" customFormat="1" ht="18" customHeight="1">
      <c r="B34" s="240" t="s">
        <v>773</v>
      </c>
      <c r="C34" s="208" t="s">
        <v>247</v>
      </c>
      <c r="D34" s="201" t="s">
        <v>42</v>
      </c>
      <c r="E34" s="203" t="s">
        <v>252</v>
      </c>
      <c r="F34" s="203" t="s">
        <v>18</v>
      </c>
      <c r="G34" s="406" t="s">
        <v>256</v>
      </c>
      <c r="H34" s="205">
        <v>89.94</v>
      </c>
      <c r="I34" s="202">
        <f aca="true" t="shared" si="0" ref="I34:I40">ROUND(H34*($I$15/100+1),2)</f>
        <v>112.36</v>
      </c>
      <c r="J34" s="202">
        <f aca="true" t="shared" si="1" ref="J34:J40">ROUND(G34*I34,2)</f>
        <v>635.96</v>
      </c>
      <c r="K34" s="211"/>
      <c r="L34" s="207"/>
    </row>
    <row r="35" spans="2:12" s="19" customFormat="1" ht="15.75">
      <c r="B35" s="240" t="s">
        <v>774</v>
      </c>
      <c r="C35" s="208" t="s">
        <v>248</v>
      </c>
      <c r="D35" s="201" t="s">
        <v>42</v>
      </c>
      <c r="E35" s="203">
        <v>5651</v>
      </c>
      <c r="F35" s="203" t="s">
        <v>0</v>
      </c>
      <c r="G35" s="204" t="s">
        <v>257</v>
      </c>
      <c r="H35" s="205">
        <v>25.15</v>
      </c>
      <c r="I35" s="202">
        <f t="shared" si="0"/>
        <v>31.42</v>
      </c>
      <c r="J35" s="202">
        <f t="shared" si="1"/>
        <v>13084.54</v>
      </c>
      <c r="K35" s="211"/>
      <c r="L35" s="207"/>
    </row>
    <row r="36" spans="2:12" s="19" customFormat="1" ht="18" customHeight="1">
      <c r="B36" s="240" t="s">
        <v>775</v>
      </c>
      <c r="C36" s="208" t="s">
        <v>249</v>
      </c>
      <c r="D36" s="201" t="s">
        <v>42</v>
      </c>
      <c r="E36" s="203" t="s">
        <v>479</v>
      </c>
      <c r="F36" s="203" t="s">
        <v>141</v>
      </c>
      <c r="G36" s="204" t="s">
        <v>258</v>
      </c>
      <c r="H36" s="205">
        <v>6.22</v>
      </c>
      <c r="I36" s="202">
        <f t="shared" si="0"/>
        <v>7.77</v>
      </c>
      <c r="J36" s="202">
        <f t="shared" si="1"/>
        <v>15696.25</v>
      </c>
      <c r="K36" s="211"/>
      <c r="L36" s="207"/>
    </row>
    <row r="37" spans="2:12" s="19" customFormat="1" ht="15.75">
      <c r="B37" s="240" t="s">
        <v>776</v>
      </c>
      <c r="C37" s="208" t="s">
        <v>1139</v>
      </c>
      <c r="D37" s="201" t="s">
        <v>42</v>
      </c>
      <c r="E37" s="203" t="s">
        <v>1138</v>
      </c>
      <c r="F37" s="203" t="s">
        <v>18</v>
      </c>
      <c r="G37" s="204" t="s">
        <v>259</v>
      </c>
      <c r="H37" s="352">
        <f>344.88</f>
        <v>344.88</v>
      </c>
      <c r="I37" s="202">
        <f t="shared" si="0"/>
        <v>430.86</v>
      </c>
      <c r="J37" s="202">
        <f t="shared" si="1"/>
        <v>13356.66</v>
      </c>
      <c r="K37" s="209"/>
      <c r="L37" s="207"/>
    </row>
    <row r="38" spans="2:12" s="19" customFormat="1" ht="30">
      <c r="B38" s="240" t="s">
        <v>777</v>
      </c>
      <c r="C38" s="325" t="s">
        <v>1140</v>
      </c>
      <c r="D38" s="201" t="s">
        <v>42</v>
      </c>
      <c r="E38" s="203">
        <v>83519</v>
      </c>
      <c r="F38" s="203" t="s">
        <v>18</v>
      </c>
      <c r="G38" s="204" t="s">
        <v>260</v>
      </c>
      <c r="H38" s="326">
        <v>356.39</v>
      </c>
      <c r="I38" s="202">
        <f t="shared" si="0"/>
        <v>445.24</v>
      </c>
      <c r="J38" s="202">
        <f t="shared" si="1"/>
        <v>4434.59</v>
      </c>
      <c r="K38" s="209"/>
      <c r="L38" s="207"/>
    </row>
    <row r="39" spans="2:12" s="19" customFormat="1" ht="30">
      <c r="B39" s="240" t="s">
        <v>778</v>
      </c>
      <c r="C39" s="208" t="s">
        <v>250</v>
      </c>
      <c r="D39" s="201" t="s">
        <v>42</v>
      </c>
      <c r="E39" s="200" t="s">
        <v>254</v>
      </c>
      <c r="F39" s="203" t="s">
        <v>0</v>
      </c>
      <c r="G39" s="204" t="s">
        <v>261</v>
      </c>
      <c r="H39" s="352">
        <v>36.78</v>
      </c>
      <c r="I39" s="202">
        <f t="shared" si="0"/>
        <v>45.95</v>
      </c>
      <c r="J39" s="202">
        <f t="shared" si="1"/>
        <v>8005.41</v>
      </c>
      <c r="K39" s="209"/>
      <c r="L39" s="207"/>
    </row>
    <row r="40" spans="2:14" s="19" customFormat="1" ht="30">
      <c r="B40" s="240" t="s">
        <v>779</v>
      </c>
      <c r="C40" s="208" t="s">
        <v>251</v>
      </c>
      <c r="D40" s="201" t="s">
        <v>42</v>
      </c>
      <c r="E40" s="200" t="s">
        <v>255</v>
      </c>
      <c r="F40" s="203" t="s">
        <v>0</v>
      </c>
      <c r="G40" s="204" t="s">
        <v>261</v>
      </c>
      <c r="H40" s="205">
        <v>6.59</v>
      </c>
      <c r="I40" s="202">
        <f t="shared" si="0"/>
        <v>8.23</v>
      </c>
      <c r="J40" s="202">
        <f t="shared" si="1"/>
        <v>1433.83</v>
      </c>
      <c r="K40" s="209"/>
      <c r="L40" s="207"/>
      <c r="M40" s="19">
        <v>540.22</v>
      </c>
      <c r="N40" s="19">
        <v>1</v>
      </c>
    </row>
    <row r="41" spans="2:12" s="19" customFormat="1" ht="15.75">
      <c r="B41" s="240" t="s">
        <v>780</v>
      </c>
      <c r="C41" s="208" t="s">
        <v>1174</v>
      </c>
      <c r="D41" s="201" t="s">
        <v>42</v>
      </c>
      <c r="E41" s="200" t="s">
        <v>1049</v>
      </c>
      <c r="F41" s="203" t="s">
        <v>18</v>
      </c>
      <c r="G41" s="204">
        <f>540.22*1</f>
        <v>540.22</v>
      </c>
      <c r="H41" s="204">
        <v>74.17</v>
      </c>
      <c r="I41" s="202">
        <f>ROUND(H41*($I$15/100+1),2)</f>
        <v>92.66</v>
      </c>
      <c r="J41" s="202">
        <f>ROUND(G41*I41,2)</f>
        <v>50056.79</v>
      </c>
      <c r="K41" s="209"/>
      <c r="L41" s="207"/>
    </row>
    <row r="42" spans="2:14" s="19" customFormat="1" ht="30">
      <c r="B42" s="240" t="s">
        <v>781</v>
      </c>
      <c r="C42" s="324" t="s">
        <v>233</v>
      </c>
      <c r="D42" s="201" t="s">
        <v>42</v>
      </c>
      <c r="E42" s="201" t="s">
        <v>237</v>
      </c>
      <c r="F42" s="203" t="s">
        <v>18</v>
      </c>
      <c r="G42" s="204" t="s">
        <v>245</v>
      </c>
      <c r="H42" s="352">
        <v>21.12</v>
      </c>
      <c r="I42" s="202">
        <f>ROUND(H42*($I$15/100+1),2)</f>
        <v>26.39</v>
      </c>
      <c r="J42" s="204">
        <f>ROUND(G42*I42,2)</f>
        <v>2122.02</v>
      </c>
      <c r="K42" s="211"/>
      <c r="L42" s="207"/>
      <c r="N42" s="19">
        <f>M40*N40</f>
        <v>540.22</v>
      </c>
    </row>
    <row r="43" spans="2:14" s="19" customFormat="1" ht="30">
      <c r="B43" s="240" t="s">
        <v>782</v>
      </c>
      <c r="C43" s="324" t="s">
        <v>235</v>
      </c>
      <c r="D43" s="201" t="s">
        <v>42</v>
      </c>
      <c r="E43" s="201" t="s">
        <v>238</v>
      </c>
      <c r="F43" s="203" t="s">
        <v>18</v>
      </c>
      <c r="G43" s="204" t="s">
        <v>246</v>
      </c>
      <c r="H43" s="205">
        <v>22.28</v>
      </c>
      <c r="I43" s="202">
        <f>ROUND(H43*($I$15/100+1),2)</f>
        <v>27.83</v>
      </c>
      <c r="J43" s="204">
        <f>ROUND(G43*I43,2)</f>
        <v>3127.26</v>
      </c>
      <c r="K43" s="211"/>
      <c r="L43" s="207"/>
      <c r="N43" s="19">
        <v>35.2</v>
      </c>
    </row>
    <row r="44" spans="2:14" s="19" customFormat="1" ht="15.75">
      <c r="B44" s="571" t="s">
        <v>782</v>
      </c>
      <c r="C44" s="572" t="s">
        <v>766</v>
      </c>
      <c r="D44" s="573"/>
      <c r="E44" s="574"/>
      <c r="F44" s="575"/>
      <c r="G44" s="576"/>
      <c r="H44" s="577"/>
      <c r="I44" s="581"/>
      <c r="J44" s="582"/>
      <c r="K44" s="583"/>
      <c r="L44" s="580"/>
      <c r="N44" s="19">
        <f>N42*N43*1.2493</f>
        <v>23756.368979200004</v>
      </c>
    </row>
    <row r="45" spans="2:12" s="19" customFormat="1" ht="30">
      <c r="B45" s="601" t="s">
        <v>783</v>
      </c>
      <c r="C45" s="551" t="s">
        <v>229</v>
      </c>
      <c r="D45" s="552" t="s">
        <v>42</v>
      </c>
      <c r="E45" s="552" t="s">
        <v>236</v>
      </c>
      <c r="F45" s="241" t="s">
        <v>18</v>
      </c>
      <c r="G45" s="204">
        <f>'Memorial de Cálculo'!L41</f>
        <v>7.408199999999999</v>
      </c>
      <c r="H45" s="233">
        <v>35.2</v>
      </c>
      <c r="I45" s="202">
        <f aca="true" t="shared" si="2" ref="I45:I50">ROUND(H45*($I$15/100+1),2)</f>
        <v>43.98</v>
      </c>
      <c r="J45" s="204">
        <f aca="true" t="shared" si="3" ref="J45:J50">ROUND(G45*I45,2)</f>
        <v>325.81</v>
      </c>
      <c r="K45" s="211"/>
      <c r="L45" s="207"/>
    </row>
    <row r="46" spans="2:12" s="19" customFormat="1" ht="15.75">
      <c r="B46" s="601" t="s">
        <v>784</v>
      </c>
      <c r="C46" s="551" t="s">
        <v>771</v>
      </c>
      <c r="D46" s="552" t="s">
        <v>130</v>
      </c>
      <c r="E46" s="552"/>
      <c r="F46" s="241"/>
      <c r="G46" s="204">
        <f>'Memorial de Cálculo'!L47</f>
        <v>7.64025</v>
      </c>
      <c r="H46" s="233">
        <f>'Composições de Custo'!I65</f>
        <v>1619.116586593476</v>
      </c>
      <c r="I46" s="202">
        <f t="shared" si="2"/>
        <v>2022.76</v>
      </c>
      <c r="J46" s="204">
        <f t="shared" si="3"/>
        <v>15454.39</v>
      </c>
      <c r="K46" s="211"/>
      <c r="L46" s="207"/>
    </row>
    <row r="47" spans="2:12" s="19" customFormat="1" ht="30">
      <c r="B47" s="601" t="s">
        <v>785</v>
      </c>
      <c r="C47" s="325" t="s">
        <v>1140</v>
      </c>
      <c r="D47" s="201" t="s">
        <v>42</v>
      </c>
      <c r="E47" s="203">
        <v>83519</v>
      </c>
      <c r="F47" s="203" t="s">
        <v>18</v>
      </c>
      <c r="G47" s="204">
        <f>'Memorial de Cálculo'!L51</f>
        <v>5.6074</v>
      </c>
      <c r="H47" s="326">
        <v>356.39</v>
      </c>
      <c r="I47" s="202">
        <f t="shared" si="2"/>
        <v>445.24</v>
      </c>
      <c r="J47" s="204">
        <f t="shared" si="3"/>
        <v>2496.64</v>
      </c>
      <c r="K47" s="211"/>
      <c r="L47" s="207"/>
    </row>
    <row r="48" spans="2:12" s="19" customFormat="1" ht="30">
      <c r="B48" s="601" t="s">
        <v>786</v>
      </c>
      <c r="C48" s="208" t="s">
        <v>250</v>
      </c>
      <c r="D48" s="201" t="s">
        <v>42</v>
      </c>
      <c r="E48" s="200" t="s">
        <v>254</v>
      </c>
      <c r="F48" s="203" t="s">
        <v>0</v>
      </c>
      <c r="G48" s="204">
        <f>'Memorial de Cálculo'!L57</f>
        <v>81.67999999999999</v>
      </c>
      <c r="H48" s="352">
        <v>36.78</v>
      </c>
      <c r="I48" s="202">
        <f t="shared" si="2"/>
        <v>45.95</v>
      </c>
      <c r="J48" s="204">
        <f t="shared" si="3"/>
        <v>3753.2</v>
      </c>
      <c r="K48" s="211"/>
      <c r="L48" s="207"/>
    </row>
    <row r="49" spans="2:12" s="19" customFormat="1" ht="30">
      <c r="B49" s="601" t="s">
        <v>787</v>
      </c>
      <c r="C49" s="208" t="s">
        <v>251</v>
      </c>
      <c r="D49" s="201" t="s">
        <v>42</v>
      </c>
      <c r="E49" s="200" t="s">
        <v>255</v>
      </c>
      <c r="F49" s="203" t="s">
        <v>0</v>
      </c>
      <c r="G49" s="204">
        <f>'Memorial de Cálculo'!L63</f>
        <v>81.67999999999999</v>
      </c>
      <c r="H49" s="205">
        <v>6.59</v>
      </c>
      <c r="I49" s="202">
        <f t="shared" si="2"/>
        <v>8.23</v>
      </c>
      <c r="J49" s="204">
        <f t="shared" si="3"/>
        <v>672.23</v>
      </c>
      <c r="K49" s="211"/>
      <c r="L49" s="207"/>
    </row>
    <row r="50" spans="2:12" s="19" customFormat="1" ht="30.75" thickBot="1">
      <c r="B50" s="739" t="s">
        <v>788</v>
      </c>
      <c r="C50" s="562" t="s">
        <v>235</v>
      </c>
      <c r="D50" s="563" t="s">
        <v>42</v>
      </c>
      <c r="E50" s="563" t="s">
        <v>238</v>
      </c>
      <c r="F50" s="564" t="s">
        <v>18</v>
      </c>
      <c r="G50" s="565">
        <f>'Memorial de Cálculo'!L71</f>
        <v>98.50099999999998</v>
      </c>
      <c r="H50" s="740">
        <v>22.28</v>
      </c>
      <c r="I50" s="566">
        <f t="shared" si="2"/>
        <v>27.83</v>
      </c>
      <c r="J50" s="565">
        <f t="shared" si="3"/>
        <v>2741.28</v>
      </c>
      <c r="K50" s="741"/>
      <c r="L50" s="567"/>
    </row>
    <row r="51" spans="2:12" ht="18" customHeight="1" thickBot="1">
      <c r="B51" s="568" t="s">
        <v>9</v>
      </c>
      <c r="C51" s="554" t="s">
        <v>21</v>
      </c>
      <c r="D51" s="555"/>
      <c r="E51" s="569"/>
      <c r="F51" s="556"/>
      <c r="G51" s="557"/>
      <c r="H51" s="557"/>
      <c r="I51" s="557"/>
      <c r="J51" s="558"/>
      <c r="K51" s="570">
        <f>SUM(J52:J58)</f>
        <v>80171.59999999999</v>
      </c>
      <c r="L51" s="560">
        <f>K51/$K$341</f>
        <v>0.09086800447496439</v>
      </c>
    </row>
    <row r="52" spans="2:12" s="19" customFormat="1" ht="60">
      <c r="B52" s="200" t="s">
        <v>614</v>
      </c>
      <c r="C52" s="208" t="s">
        <v>262</v>
      </c>
      <c r="D52" s="201" t="s">
        <v>42</v>
      </c>
      <c r="E52" s="200" t="s">
        <v>264</v>
      </c>
      <c r="F52" s="203" t="s">
        <v>0</v>
      </c>
      <c r="G52" s="204" t="s">
        <v>266</v>
      </c>
      <c r="H52" s="210">
        <v>51.29</v>
      </c>
      <c r="I52" s="202">
        <f>ROUND(H52*($I$15/100+1),2)</f>
        <v>64.08</v>
      </c>
      <c r="J52" s="202">
        <f>ROUND(G52*I52,2)</f>
        <v>7615.91</v>
      </c>
      <c r="K52" s="211"/>
      <c r="L52" s="207"/>
    </row>
    <row r="53" spans="2:12" s="19" customFormat="1" ht="18" customHeight="1">
      <c r="B53" s="200" t="s">
        <v>615</v>
      </c>
      <c r="C53" s="208" t="s">
        <v>249</v>
      </c>
      <c r="D53" s="201" t="s">
        <v>42</v>
      </c>
      <c r="E53" s="203" t="s">
        <v>479</v>
      </c>
      <c r="F53" s="203" t="s">
        <v>141</v>
      </c>
      <c r="G53" s="204" t="s">
        <v>267</v>
      </c>
      <c r="H53" s="205">
        <v>6.22</v>
      </c>
      <c r="I53" s="202">
        <f aca="true" t="shared" si="4" ref="I53:I61">ROUND(H53*($I$15/100+1),2)</f>
        <v>7.77</v>
      </c>
      <c r="J53" s="202">
        <f>ROUND(G53*I53,2)</f>
        <v>20590.5</v>
      </c>
      <c r="K53" s="211"/>
      <c r="L53" s="207"/>
    </row>
    <row r="54" spans="2:12" s="22" customFormat="1" ht="15.75">
      <c r="B54" s="200" t="s">
        <v>616</v>
      </c>
      <c r="C54" s="208" t="s">
        <v>1139</v>
      </c>
      <c r="D54" s="201" t="s">
        <v>42</v>
      </c>
      <c r="E54" s="203" t="s">
        <v>1138</v>
      </c>
      <c r="F54" s="203" t="s">
        <v>18</v>
      </c>
      <c r="G54" s="205" t="s">
        <v>268</v>
      </c>
      <c r="H54" s="352">
        <f>344.88</f>
        <v>344.88</v>
      </c>
      <c r="I54" s="202">
        <f t="shared" si="4"/>
        <v>430.86</v>
      </c>
      <c r="J54" s="202">
        <f>ROUND(G54*I54,2)</f>
        <v>5191.86</v>
      </c>
      <c r="K54" s="327"/>
      <c r="L54" s="207"/>
    </row>
    <row r="55" spans="2:12" s="22" customFormat="1" ht="45">
      <c r="B55" s="200" t="s">
        <v>617</v>
      </c>
      <c r="C55" s="208" t="s">
        <v>263</v>
      </c>
      <c r="D55" s="201" t="s">
        <v>42</v>
      </c>
      <c r="E55" s="200" t="s">
        <v>265</v>
      </c>
      <c r="F55" s="203" t="s">
        <v>0</v>
      </c>
      <c r="G55" s="204" t="s">
        <v>269</v>
      </c>
      <c r="H55" s="210">
        <v>77.18</v>
      </c>
      <c r="I55" s="202">
        <f t="shared" si="4"/>
        <v>96.42</v>
      </c>
      <c r="J55" s="202">
        <f>ROUND(G55*I55,2)</f>
        <v>27016.88</v>
      </c>
      <c r="K55" s="327"/>
      <c r="L55" s="207"/>
    </row>
    <row r="56" spans="2:12" s="22" customFormat="1" ht="18" customHeight="1">
      <c r="B56" s="571" t="s">
        <v>789</v>
      </c>
      <c r="C56" s="572" t="s">
        <v>794</v>
      </c>
      <c r="D56" s="573"/>
      <c r="E56" s="574"/>
      <c r="F56" s="575"/>
      <c r="G56" s="576"/>
      <c r="H56" s="577"/>
      <c r="I56" s="581"/>
      <c r="J56" s="582"/>
      <c r="K56" s="583"/>
      <c r="L56" s="580"/>
    </row>
    <row r="57" spans="2:12" s="22" customFormat="1" ht="18" customHeight="1">
      <c r="B57" s="200" t="s">
        <v>1098</v>
      </c>
      <c r="C57" s="551" t="s">
        <v>793</v>
      </c>
      <c r="D57" s="552" t="s">
        <v>130</v>
      </c>
      <c r="E57" s="552"/>
      <c r="F57" s="454" t="s">
        <v>18</v>
      </c>
      <c r="G57" s="204">
        <f>'Memorial de Cálculo'!L81</f>
        <v>5.02368</v>
      </c>
      <c r="H57" s="210">
        <f>'Composições de Custo'!I65</f>
        <v>1619.116586593476</v>
      </c>
      <c r="I57" s="202">
        <f>ROUND(H57*($I$15/100+1),2)</f>
        <v>2022.76</v>
      </c>
      <c r="J57" s="202">
        <f>ROUND(G57*I57,2)</f>
        <v>10161.7</v>
      </c>
      <c r="K57" s="327"/>
      <c r="L57" s="207"/>
    </row>
    <row r="58" spans="2:12" s="22" customFormat="1" ht="45.75" thickBot="1">
      <c r="B58" s="561" t="s">
        <v>1099</v>
      </c>
      <c r="C58" s="762" t="s">
        <v>263</v>
      </c>
      <c r="D58" s="563" t="s">
        <v>42</v>
      </c>
      <c r="E58" s="561" t="s">
        <v>265</v>
      </c>
      <c r="F58" s="564" t="s">
        <v>0</v>
      </c>
      <c r="G58" s="565">
        <f>'Memorial de Cálculo'!L84</f>
        <v>99.51</v>
      </c>
      <c r="H58" s="763">
        <v>77.18</v>
      </c>
      <c r="I58" s="566">
        <f>ROUND(H58*($I$15/100+1),2)</f>
        <v>96.42</v>
      </c>
      <c r="J58" s="566">
        <f>ROUND(G58*I58,2)</f>
        <v>9594.75</v>
      </c>
      <c r="K58" s="764"/>
      <c r="L58" s="567"/>
    </row>
    <row r="59" spans="2:12" s="22" customFormat="1" ht="18" customHeight="1" thickBot="1">
      <c r="B59" s="568" t="s">
        <v>10</v>
      </c>
      <c r="C59" s="554" t="s">
        <v>270</v>
      </c>
      <c r="D59" s="555"/>
      <c r="E59" s="569"/>
      <c r="F59" s="556"/>
      <c r="G59" s="557"/>
      <c r="H59" s="557"/>
      <c r="I59" s="557"/>
      <c r="J59" s="558"/>
      <c r="K59" s="570">
        <f>SUM(J60:J75)</f>
        <v>59328.26</v>
      </c>
      <c r="L59" s="560">
        <f>K59/$K$341</f>
        <v>0.0672437695539549</v>
      </c>
    </row>
    <row r="60" spans="2:12" s="22" customFormat="1" ht="30">
      <c r="B60" s="200" t="s">
        <v>618</v>
      </c>
      <c r="C60" s="359" t="s">
        <v>485</v>
      </c>
      <c r="D60" s="360" t="s">
        <v>46</v>
      </c>
      <c r="E60" s="358" t="s">
        <v>484</v>
      </c>
      <c r="F60" s="216" t="s">
        <v>0</v>
      </c>
      <c r="G60" s="239">
        <f>'Memorial de Cálculo'!L89</f>
        <v>666.9</v>
      </c>
      <c r="H60" s="361">
        <v>35.34</v>
      </c>
      <c r="I60" s="362">
        <f t="shared" si="4"/>
        <v>44.15</v>
      </c>
      <c r="J60" s="362">
        <f>ROUND(G60*I60,2)</f>
        <v>29443.64</v>
      </c>
      <c r="K60" s="363"/>
      <c r="L60" s="238"/>
    </row>
    <row r="61" spans="2:12" s="22" customFormat="1" ht="18" customHeight="1">
      <c r="B61" s="200" t="s">
        <v>619</v>
      </c>
      <c r="C61" s="451" t="s">
        <v>792</v>
      </c>
      <c r="D61" s="452" t="s">
        <v>228</v>
      </c>
      <c r="E61" s="453">
        <v>142001</v>
      </c>
      <c r="F61" s="454" t="s">
        <v>18</v>
      </c>
      <c r="G61" s="456" t="s">
        <v>271</v>
      </c>
      <c r="H61" s="457">
        <v>912.87</v>
      </c>
      <c r="I61" s="458">
        <f t="shared" si="4"/>
        <v>1140.45</v>
      </c>
      <c r="J61" s="458">
        <f>ROUND(G61*I61,2)</f>
        <v>6112.81</v>
      </c>
      <c r="K61" s="363"/>
      <c r="L61" s="238"/>
    </row>
    <row r="62" spans="2:12" s="22" customFormat="1" ht="18" customHeight="1">
      <c r="B62" s="571" t="s">
        <v>620</v>
      </c>
      <c r="C62" s="572" t="s">
        <v>480</v>
      </c>
      <c r="D62" s="573"/>
      <c r="E62" s="574"/>
      <c r="F62" s="575"/>
      <c r="G62" s="576"/>
      <c r="H62" s="577"/>
      <c r="I62" s="576"/>
      <c r="J62" s="578"/>
      <c r="K62" s="579"/>
      <c r="L62" s="580"/>
    </row>
    <row r="63" spans="2:12" s="22" customFormat="1" ht="30">
      <c r="B63" s="200" t="s">
        <v>795</v>
      </c>
      <c r="C63" s="359" t="s">
        <v>485</v>
      </c>
      <c r="D63" s="360" t="s">
        <v>46</v>
      </c>
      <c r="E63" s="358" t="s">
        <v>484</v>
      </c>
      <c r="F63" s="241" t="s">
        <v>0</v>
      </c>
      <c r="G63" s="202" t="s">
        <v>272</v>
      </c>
      <c r="H63" s="361">
        <v>35.34</v>
      </c>
      <c r="I63" s="202">
        <f>ROUND(H63*($I$15/100+1),2)</f>
        <v>44.15</v>
      </c>
      <c r="J63" s="202">
        <f>ROUND(G63*I63,2)</f>
        <v>2323.17</v>
      </c>
      <c r="K63" s="327"/>
      <c r="L63" s="207"/>
    </row>
    <row r="64" spans="2:12" s="22" customFormat="1" ht="60">
      <c r="B64" s="200" t="s">
        <v>796</v>
      </c>
      <c r="C64" s="208" t="s">
        <v>262</v>
      </c>
      <c r="D64" s="201" t="s">
        <v>42</v>
      </c>
      <c r="E64" s="200" t="s">
        <v>264</v>
      </c>
      <c r="F64" s="203" t="s">
        <v>0</v>
      </c>
      <c r="G64" s="204" t="s">
        <v>273</v>
      </c>
      <c r="H64" s="353">
        <v>51.29</v>
      </c>
      <c r="I64" s="202">
        <f>ROUND(H64*($I$15/100+1),2)</f>
        <v>64.08</v>
      </c>
      <c r="J64" s="202">
        <f>ROUND(G64*I64,2)</f>
        <v>692.06</v>
      </c>
      <c r="K64" s="327"/>
      <c r="L64" s="207"/>
    </row>
    <row r="65" spans="2:12" s="22" customFormat="1" ht="18" customHeight="1">
      <c r="B65" s="200" t="s">
        <v>797</v>
      </c>
      <c r="C65" s="208" t="s">
        <v>249</v>
      </c>
      <c r="D65" s="201" t="s">
        <v>42</v>
      </c>
      <c r="E65" s="200" t="s">
        <v>479</v>
      </c>
      <c r="F65" s="203" t="s">
        <v>141</v>
      </c>
      <c r="G65" s="204" t="s">
        <v>274</v>
      </c>
      <c r="H65" s="210">
        <v>6.22</v>
      </c>
      <c r="I65" s="202">
        <f>ROUND(H65*($I$15/100+1),2)</f>
        <v>7.77</v>
      </c>
      <c r="J65" s="202">
        <f>ROUND(G65*I65,2)</f>
        <v>290.91</v>
      </c>
      <c r="K65" s="327"/>
      <c r="L65" s="207"/>
    </row>
    <row r="66" spans="2:12" s="22" customFormat="1" ht="15.75">
      <c r="B66" s="200" t="s">
        <v>798</v>
      </c>
      <c r="C66" s="208" t="s">
        <v>1139</v>
      </c>
      <c r="D66" s="201" t="s">
        <v>42</v>
      </c>
      <c r="E66" s="203" t="s">
        <v>1138</v>
      </c>
      <c r="F66" s="203" t="s">
        <v>18</v>
      </c>
      <c r="G66" s="204" t="s">
        <v>275</v>
      </c>
      <c r="H66" s="352">
        <f>344.88</f>
        <v>344.88</v>
      </c>
      <c r="I66" s="202">
        <f>ROUND(H66*($I$15/100+1),2)</f>
        <v>430.86</v>
      </c>
      <c r="J66" s="202">
        <f>ROUND(G66*I66,2)</f>
        <v>155.11</v>
      </c>
      <c r="K66" s="327"/>
      <c r="L66" s="207"/>
    </row>
    <row r="67" spans="2:12" s="22" customFormat="1" ht="18" customHeight="1">
      <c r="B67" s="571" t="s">
        <v>481</v>
      </c>
      <c r="C67" s="572" t="s">
        <v>794</v>
      </c>
      <c r="D67" s="573"/>
      <c r="E67" s="574"/>
      <c r="F67" s="575"/>
      <c r="G67" s="576"/>
      <c r="H67" s="577"/>
      <c r="I67" s="581"/>
      <c r="J67" s="582"/>
      <c r="K67" s="583"/>
      <c r="L67" s="580"/>
    </row>
    <row r="68" spans="2:12" s="22" customFormat="1" ht="30">
      <c r="B68" s="358" t="s">
        <v>799</v>
      </c>
      <c r="C68" s="359" t="s">
        <v>485</v>
      </c>
      <c r="D68" s="360" t="s">
        <v>46</v>
      </c>
      <c r="E68" s="358" t="s">
        <v>484</v>
      </c>
      <c r="F68" s="216" t="s">
        <v>0</v>
      </c>
      <c r="G68" s="239">
        <f>'Memorial de Cálculo'!L96</f>
        <v>253.5344</v>
      </c>
      <c r="H68" s="361">
        <v>35.34</v>
      </c>
      <c r="I68" s="202">
        <f>ROUND(H68*($I$15/100+1),2)</f>
        <v>44.15</v>
      </c>
      <c r="J68" s="202">
        <f>ROUND(G68*I68,2)</f>
        <v>11193.54</v>
      </c>
      <c r="K68" s="363"/>
      <c r="L68" s="238"/>
    </row>
    <row r="69" spans="2:12" s="22" customFormat="1" ht="15.75">
      <c r="B69" s="358" t="s">
        <v>1100</v>
      </c>
      <c r="C69" s="451" t="s">
        <v>598</v>
      </c>
      <c r="D69" s="452" t="s">
        <v>228</v>
      </c>
      <c r="E69" s="453">
        <v>142001</v>
      </c>
      <c r="F69" s="454" t="s">
        <v>18</v>
      </c>
      <c r="G69" s="457">
        <f>'Memorial de Cálculo'!L108</f>
        <v>0.9885</v>
      </c>
      <c r="H69" s="610">
        <v>912.87</v>
      </c>
      <c r="I69" s="701"/>
      <c r="J69" s="702"/>
      <c r="K69" s="363"/>
      <c r="L69" s="238"/>
    </row>
    <row r="70" spans="2:12" s="22" customFormat="1" ht="18" customHeight="1">
      <c r="B70" s="571" t="s">
        <v>517</v>
      </c>
      <c r="C70" s="572" t="s">
        <v>802</v>
      </c>
      <c r="D70" s="573"/>
      <c r="E70" s="574"/>
      <c r="F70" s="575"/>
      <c r="G70" s="576"/>
      <c r="H70" s="577"/>
      <c r="I70" s="581"/>
      <c r="J70" s="582"/>
      <c r="K70" s="583"/>
      <c r="L70" s="580"/>
    </row>
    <row r="71" spans="2:12" s="22" customFormat="1" ht="30">
      <c r="B71" s="200" t="s">
        <v>800</v>
      </c>
      <c r="C71" s="359" t="s">
        <v>485</v>
      </c>
      <c r="D71" s="358" t="s">
        <v>484</v>
      </c>
      <c r="E71" s="216" t="s">
        <v>0</v>
      </c>
      <c r="F71" s="203" t="s">
        <v>0</v>
      </c>
      <c r="G71" s="210">
        <f>'Memorial de Cálculo'!L105</f>
        <v>116.37</v>
      </c>
      <c r="H71" s="361">
        <v>35.34</v>
      </c>
      <c r="I71" s="204">
        <f>ROUND(H71*($I$15/100+1),2)</f>
        <v>44.15</v>
      </c>
      <c r="J71" s="204">
        <f>ROUND(G71*I71,2)</f>
        <v>5137.74</v>
      </c>
      <c r="K71" s="327"/>
      <c r="L71" s="207"/>
    </row>
    <row r="72" spans="2:12" s="22" customFormat="1" ht="15.75">
      <c r="B72" s="200" t="s">
        <v>801</v>
      </c>
      <c r="C72" s="451" t="s">
        <v>598</v>
      </c>
      <c r="D72" s="452" t="s">
        <v>228</v>
      </c>
      <c r="E72" s="453">
        <v>142001</v>
      </c>
      <c r="F72" s="454" t="s">
        <v>18</v>
      </c>
      <c r="G72" s="457">
        <f>'Memorial de Cálculo'!L109</f>
        <v>1.8682500000000002</v>
      </c>
      <c r="H72" s="610">
        <v>912.87</v>
      </c>
      <c r="I72" s="239">
        <f>ROUND(H72*($I$15/100+1),2)</f>
        <v>1140.45</v>
      </c>
      <c r="J72" s="239">
        <f>ROUND(G72*I72,2)</f>
        <v>2130.65</v>
      </c>
      <c r="K72" s="611"/>
      <c r="L72" s="469"/>
    </row>
    <row r="73" spans="2:12" s="22" customFormat="1" ht="18" customHeight="1">
      <c r="B73" s="571" t="s">
        <v>756</v>
      </c>
      <c r="C73" s="572" t="s">
        <v>764</v>
      </c>
      <c r="D73" s="573"/>
      <c r="E73" s="574"/>
      <c r="F73" s="575"/>
      <c r="G73" s="576"/>
      <c r="H73" s="577"/>
      <c r="I73" s="581"/>
      <c r="J73" s="582"/>
      <c r="K73" s="583"/>
      <c r="L73" s="580"/>
    </row>
    <row r="74" spans="2:12" s="22" customFormat="1" ht="30">
      <c r="B74" s="358" t="s">
        <v>757</v>
      </c>
      <c r="C74" s="359" t="s">
        <v>485</v>
      </c>
      <c r="D74" s="360" t="s">
        <v>46</v>
      </c>
      <c r="E74" s="358" t="s">
        <v>484</v>
      </c>
      <c r="F74" s="216" t="s">
        <v>0</v>
      </c>
      <c r="G74" s="239">
        <f>'Memorial de Cálculo'!L113</f>
        <v>30.294</v>
      </c>
      <c r="H74" s="361">
        <v>35.34</v>
      </c>
      <c r="I74" s="239">
        <f>ROUND(H74*($I$15/100+1),2)</f>
        <v>44.15</v>
      </c>
      <c r="J74" s="239">
        <f>ROUND(G74*I74,2)</f>
        <v>1337.48</v>
      </c>
      <c r="K74" s="363"/>
      <c r="L74" s="238"/>
    </row>
    <row r="75" spans="2:12" s="22" customFormat="1" ht="16.5" thickBot="1">
      <c r="B75" s="453" t="s">
        <v>758</v>
      </c>
      <c r="C75" s="451" t="s">
        <v>598</v>
      </c>
      <c r="D75" s="452" t="s">
        <v>228</v>
      </c>
      <c r="E75" s="453">
        <v>142001</v>
      </c>
      <c r="F75" s="454" t="s">
        <v>18</v>
      </c>
      <c r="G75" s="457">
        <f>'Memorial de Cálculo'!L117</f>
        <v>0.44820000000000004</v>
      </c>
      <c r="H75" s="610">
        <v>912.87</v>
      </c>
      <c r="I75" s="456">
        <f>ROUND(H75*($I$15/100+1),2)</f>
        <v>1140.45</v>
      </c>
      <c r="J75" s="456">
        <f>ROUND(G75*I75,2)</f>
        <v>511.15</v>
      </c>
      <c r="K75" s="611"/>
      <c r="L75" s="469"/>
    </row>
    <row r="76" spans="2:12" ht="18" customHeight="1" thickBot="1">
      <c r="B76" s="568" t="s">
        <v>750</v>
      </c>
      <c r="C76" s="554" t="s">
        <v>20</v>
      </c>
      <c r="D76" s="555"/>
      <c r="E76" s="569"/>
      <c r="F76" s="556"/>
      <c r="G76" s="557"/>
      <c r="H76" s="557"/>
      <c r="I76" s="557"/>
      <c r="J76" s="558"/>
      <c r="K76" s="570">
        <f>SUM(J77:J92)</f>
        <v>91378.84000000001</v>
      </c>
      <c r="L76" s="560">
        <f>K76/$K$341</f>
        <v>0.10357050179910413</v>
      </c>
    </row>
    <row r="77" spans="2:12" s="19" customFormat="1" ht="30">
      <c r="B77" s="277" t="s">
        <v>622</v>
      </c>
      <c r="C77" s="463" t="s">
        <v>94</v>
      </c>
      <c r="D77" s="612" t="s">
        <v>42</v>
      </c>
      <c r="E77" s="368">
        <v>72110</v>
      </c>
      <c r="F77" s="277" t="s">
        <v>0</v>
      </c>
      <c r="G77" s="362">
        <f>'Memorial de Cálculo'!L122</f>
        <v>246.14</v>
      </c>
      <c r="H77" s="613">
        <v>62.07</v>
      </c>
      <c r="I77" s="362">
        <f>ROUND(H77*($I$15/100+1),2)</f>
        <v>77.54</v>
      </c>
      <c r="J77" s="362">
        <f>ROUND(G77*I77,2)</f>
        <v>19085.7</v>
      </c>
      <c r="K77" s="465"/>
      <c r="L77" s="375"/>
    </row>
    <row r="78" spans="2:12" s="19" customFormat="1" ht="45">
      <c r="B78" s="277" t="s">
        <v>623</v>
      </c>
      <c r="C78" s="276" t="s">
        <v>132</v>
      </c>
      <c r="D78" s="277" t="s">
        <v>50</v>
      </c>
      <c r="E78" s="278" t="s">
        <v>95</v>
      </c>
      <c r="F78" s="216" t="s">
        <v>0</v>
      </c>
      <c r="G78" s="239">
        <f>'Memorial de Cálculo'!L125</f>
        <v>246.14</v>
      </c>
      <c r="H78" s="459">
        <v>93</v>
      </c>
      <c r="I78" s="362">
        <f>ROUND(H78*($I$15/100+1),2)</f>
        <v>116.18</v>
      </c>
      <c r="J78" s="362">
        <f>ROUND(G78*I78,2)</f>
        <v>28596.55</v>
      </c>
      <c r="K78" s="237"/>
      <c r="L78" s="238"/>
    </row>
    <row r="79" spans="2:12" s="19" customFormat="1" ht="18" customHeight="1">
      <c r="B79" s="277" t="s">
        <v>624</v>
      </c>
      <c r="C79" s="276" t="s">
        <v>96</v>
      </c>
      <c r="D79" s="277" t="s">
        <v>85</v>
      </c>
      <c r="E79" s="368" t="s">
        <v>97</v>
      </c>
      <c r="F79" s="216" t="s">
        <v>0</v>
      </c>
      <c r="G79" s="239">
        <f>'Memorial de Cálculo'!L129</f>
        <v>75.5</v>
      </c>
      <c r="H79" s="361">
        <v>22.99</v>
      </c>
      <c r="I79" s="362">
        <f>ROUND(H79*($I$15/100+1),2)</f>
        <v>28.72</v>
      </c>
      <c r="J79" s="362">
        <f>ROUND(G79*I79,2)</f>
        <v>2168.36</v>
      </c>
      <c r="K79" s="237"/>
      <c r="L79" s="238"/>
    </row>
    <row r="80" spans="2:12" s="19" customFormat="1" ht="15.75">
      <c r="B80" s="277" t="s">
        <v>625</v>
      </c>
      <c r="C80" s="451" t="s">
        <v>98</v>
      </c>
      <c r="D80" s="460" t="s">
        <v>46</v>
      </c>
      <c r="E80" s="453" t="s">
        <v>99</v>
      </c>
      <c r="F80" s="454" t="s">
        <v>34</v>
      </c>
      <c r="G80" s="456">
        <f>'Memorial de Cálculo'!L133</f>
        <v>131.76</v>
      </c>
      <c r="H80" s="457">
        <v>64.98</v>
      </c>
      <c r="I80" s="458">
        <f>ROUND(H80*($I$15/100+1),2)</f>
        <v>81.18</v>
      </c>
      <c r="J80" s="458">
        <f>ROUND(G80*I80,2)</f>
        <v>10696.28</v>
      </c>
      <c r="K80" s="594"/>
      <c r="L80" s="469"/>
    </row>
    <row r="81" spans="2:12" s="19" customFormat="1" ht="45">
      <c r="B81" s="277" t="s">
        <v>626</v>
      </c>
      <c r="C81" s="399" t="s">
        <v>1141</v>
      </c>
      <c r="D81" s="216" t="s">
        <v>85</v>
      </c>
      <c r="E81" s="477" t="s">
        <v>1142</v>
      </c>
      <c r="F81" s="216" t="s">
        <v>0</v>
      </c>
      <c r="G81" s="236">
        <f>'Memorial de Cálculo'!L136</f>
        <v>14.317500000000003</v>
      </c>
      <c r="H81" s="361">
        <v>58.93</v>
      </c>
      <c r="I81" s="236">
        <f>ROUND(H81*($I$15/100+1),2)</f>
        <v>73.62</v>
      </c>
      <c r="J81" s="236">
        <f>ROUND(G81*I81,2)</f>
        <v>1054.05</v>
      </c>
      <c r="K81" s="727"/>
      <c r="L81" s="728"/>
    </row>
    <row r="82" spans="2:12" s="19" customFormat="1" ht="15.75">
      <c r="B82" s="584" t="s">
        <v>627</v>
      </c>
      <c r="C82" s="572" t="s">
        <v>701</v>
      </c>
      <c r="D82" s="575"/>
      <c r="E82" s="574"/>
      <c r="F82" s="575"/>
      <c r="G82" s="576"/>
      <c r="H82" s="577"/>
      <c r="I82" s="576"/>
      <c r="J82" s="578"/>
      <c r="K82" s="585"/>
      <c r="L82" s="580"/>
    </row>
    <row r="83" spans="2:12" s="19" customFormat="1" ht="30">
      <c r="B83" s="216" t="s">
        <v>805</v>
      </c>
      <c r="C83" s="359" t="s">
        <v>485</v>
      </c>
      <c r="D83" s="360" t="s">
        <v>46</v>
      </c>
      <c r="E83" s="358" t="s">
        <v>484</v>
      </c>
      <c r="F83" s="216" t="s">
        <v>0</v>
      </c>
      <c r="G83" s="239">
        <f>'Memorial de Cálculo'!L140</f>
        <v>19.96</v>
      </c>
      <c r="H83" s="361">
        <v>35.34</v>
      </c>
      <c r="I83" s="239">
        <f>ROUND(H83*($I$15/100+1),2)</f>
        <v>44.15</v>
      </c>
      <c r="J83" s="239">
        <f>ROUND(G83*I83,2)</f>
        <v>881.23</v>
      </c>
      <c r="K83" s="400"/>
      <c r="L83" s="238"/>
    </row>
    <row r="84" spans="2:12" s="19" customFormat="1" ht="30">
      <c r="B84" s="216" t="s">
        <v>806</v>
      </c>
      <c r="C84" s="359" t="s">
        <v>410</v>
      </c>
      <c r="D84" s="243" t="s">
        <v>42</v>
      </c>
      <c r="E84" s="216">
        <v>87878</v>
      </c>
      <c r="F84" s="216" t="s">
        <v>0</v>
      </c>
      <c r="G84" s="239">
        <f>'Memorial de Cálculo'!L143</f>
        <v>27.445</v>
      </c>
      <c r="H84" s="361">
        <v>2.75</v>
      </c>
      <c r="I84" s="239">
        <f>ROUND(H84*($I$15/100+1),2)</f>
        <v>3.44</v>
      </c>
      <c r="J84" s="239">
        <f>ROUND(G84*I84,2)</f>
        <v>94.41</v>
      </c>
      <c r="K84" s="400"/>
      <c r="L84" s="238"/>
    </row>
    <row r="85" spans="2:12" s="19" customFormat="1" ht="30">
      <c r="B85" s="216" t="s">
        <v>807</v>
      </c>
      <c r="C85" s="461" t="s">
        <v>582</v>
      </c>
      <c r="D85" s="243" t="s">
        <v>42</v>
      </c>
      <c r="E85" s="462" t="s">
        <v>583</v>
      </c>
      <c r="F85" s="216" t="s">
        <v>0</v>
      </c>
      <c r="G85" s="239">
        <f>'Memorial de Cálculo'!L146</f>
        <v>27.445</v>
      </c>
      <c r="H85" s="361">
        <v>19.46</v>
      </c>
      <c r="I85" s="239">
        <f>ROUND(H85*($I$15/100+1),2)</f>
        <v>24.31</v>
      </c>
      <c r="J85" s="239">
        <f>ROUND(G85*I85,2)</f>
        <v>667.19</v>
      </c>
      <c r="K85" s="400"/>
      <c r="L85" s="238"/>
    </row>
    <row r="86" spans="2:12" s="19" customFormat="1" ht="45">
      <c r="B86" s="216" t="s">
        <v>808</v>
      </c>
      <c r="C86" s="399" t="s">
        <v>1141</v>
      </c>
      <c r="D86" s="216" t="s">
        <v>85</v>
      </c>
      <c r="E86" s="477" t="s">
        <v>1142</v>
      </c>
      <c r="F86" s="216" t="s">
        <v>0</v>
      </c>
      <c r="G86" s="239">
        <f>'Memorial de Cálculo'!L149</f>
        <v>48.285000000000004</v>
      </c>
      <c r="H86" s="361">
        <v>58.93</v>
      </c>
      <c r="I86" s="239">
        <f>ROUND(H86*($I$15/100+1),2)</f>
        <v>73.62</v>
      </c>
      <c r="J86" s="239">
        <f>ROUND(G86*I86,2)</f>
        <v>3554.74</v>
      </c>
      <c r="K86" s="400"/>
      <c r="L86" s="238"/>
    </row>
    <row r="87" spans="2:12" s="19" customFormat="1" ht="15.75">
      <c r="B87" s="623" t="s">
        <v>628</v>
      </c>
      <c r="C87" s="572" t="s">
        <v>766</v>
      </c>
      <c r="D87" s="624"/>
      <c r="E87" s="625"/>
      <c r="F87" s="624"/>
      <c r="G87" s="626"/>
      <c r="H87" s="627"/>
      <c r="I87" s="626"/>
      <c r="J87" s="626"/>
      <c r="K87" s="628"/>
      <c r="L87" s="580"/>
    </row>
    <row r="88" spans="2:12" s="19" customFormat="1" ht="30">
      <c r="B88" s="216" t="s">
        <v>809</v>
      </c>
      <c r="C88" s="359" t="s">
        <v>94</v>
      </c>
      <c r="D88" s="612" t="s">
        <v>42</v>
      </c>
      <c r="E88" s="368">
        <v>72110</v>
      </c>
      <c r="F88" s="277" t="s">
        <v>0</v>
      </c>
      <c r="G88" s="362">
        <f>'Memorial de Cálculo'!L154</f>
        <v>75.1087</v>
      </c>
      <c r="H88" s="613">
        <v>62.07</v>
      </c>
      <c r="I88" s="239">
        <f>ROUND(H88*($I$15/100+1),2)</f>
        <v>77.54</v>
      </c>
      <c r="J88" s="239">
        <f>ROUND(G88*I88,2)</f>
        <v>5823.93</v>
      </c>
      <c r="K88" s="237"/>
      <c r="L88" s="238"/>
    </row>
    <row r="89" spans="2:12" s="19" customFormat="1" ht="45">
      <c r="B89" s="216" t="s">
        <v>810</v>
      </c>
      <c r="C89" s="359" t="s">
        <v>132</v>
      </c>
      <c r="D89" s="277" t="s">
        <v>50</v>
      </c>
      <c r="E89" s="278" t="s">
        <v>95</v>
      </c>
      <c r="F89" s="216" t="s">
        <v>0</v>
      </c>
      <c r="G89" s="239">
        <f>'Memorial de Cálculo'!L158</f>
        <v>75.1087</v>
      </c>
      <c r="H89" s="459">
        <v>93</v>
      </c>
      <c r="I89" s="239">
        <f>ROUND(H89*($I$15/100+1),2)</f>
        <v>116.18</v>
      </c>
      <c r="J89" s="239">
        <f>ROUND(G89*I89,2)</f>
        <v>8726.13</v>
      </c>
      <c r="K89" s="237"/>
      <c r="L89" s="238"/>
    </row>
    <row r="90" spans="2:12" s="19" customFormat="1" ht="15.75">
      <c r="B90" s="216" t="s">
        <v>811</v>
      </c>
      <c r="C90" s="359" t="s">
        <v>96</v>
      </c>
      <c r="D90" s="277" t="s">
        <v>85</v>
      </c>
      <c r="E90" s="368" t="s">
        <v>97</v>
      </c>
      <c r="F90" s="216" t="s">
        <v>0</v>
      </c>
      <c r="G90" s="239">
        <f>'Memorial de Cálculo'!L161</f>
        <v>44.17</v>
      </c>
      <c r="H90" s="361">
        <v>22.99</v>
      </c>
      <c r="I90" s="239">
        <f>ROUND(H90*($I$15/100+1),2)</f>
        <v>28.72</v>
      </c>
      <c r="J90" s="239">
        <f>ROUND(G90*I90,2)</f>
        <v>1268.56</v>
      </c>
      <c r="K90" s="237"/>
      <c r="L90" s="238"/>
    </row>
    <row r="91" spans="2:12" s="19" customFormat="1" ht="15.75">
      <c r="B91" s="216" t="s">
        <v>812</v>
      </c>
      <c r="C91" s="359" t="s">
        <v>98</v>
      </c>
      <c r="D91" s="216" t="s">
        <v>46</v>
      </c>
      <c r="E91" s="358" t="s">
        <v>99</v>
      </c>
      <c r="F91" s="216" t="s">
        <v>34</v>
      </c>
      <c r="G91" s="239">
        <f>'Memorial de Cálculo'!L165</f>
        <v>76.82</v>
      </c>
      <c r="H91" s="361">
        <v>64.98</v>
      </c>
      <c r="I91" s="239">
        <f>ROUND(H91*($I$15/100+1),2)</f>
        <v>81.18</v>
      </c>
      <c r="J91" s="239">
        <f>ROUND(G91*I91,2)</f>
        <v>6236.25</v>
      </c>
      <c r="K91" s="237"/>
      <c r="L91" s="238"/>
    </row>
    <row r="92" spans="2:12" s="19" customFormat="1" ht="16.5" thickBot="1">
      <c r="B92" s="454" t="s">
        <v>813</v>
      </c>
      <c r="C92" s="709" t="s">
        <v>982</v>
      </c>
      <c r="D92" s="454" t="s">
        <v>46</v>
      </c>
      <c r="E92" s="453" t="s">
        <v>983</v>
      </c>
      <c r="F92" s="454" t="s">
        <v>34</v>
      </c>
      <c r="G92" s="456">
        <f>'Memorial de Cálculo'!L168</f>
        <v>34.36</v>
      </c>
      <c r="H92" s="457">
        <v>58.83</v>
      </c>
      <c r="I92" s="456">
        <f>ROUND(H92*($I$15/100+1),2)</f>
        <v>73.5</v>
      </c>
      <c r="J92" s="456">
        <f>ROUND(G92*I92,2)</f>
        <v>2525.46</v>
      </c>
      <c r="K92" s="594"/>
      <c r="L92" s="469"/>
    </row>
    <row r="93" spans="2:12" s="19" customFormat="1" ht="16.5" thickBot="1">
      <c r="B93" s="568" t="s">
        <v>751</v>
      </c>
      <c r="C93" s="554" t="s">
        <v>621</v>
      </c>
      <c r="D93" s="555"/>
      <c r="E93" s="569"/>
      <c r="F93" s="556"/>
      <c r="G93" s="557"/>
      <c r="H93" s="557"/>
      <c r="I93" s="557"/>
      <c r="J93" s="558"/>
      <c r="K93" s="570">
        <f>SUM(J94:J101)</f>
        <v>41754.88</v>
      </c>
      <c r="L93" s="560">
        <f>K93/$K$341</f>
        <v>0.04732576900912045</v>
      </c>
    </row>
    <row r="94" spans="2:12" s="19" customFormat="1" ht="15">
      <c r="B94" s="464" t="s">
        <v>629</v>
      </c>
      <c r="C94" s="463" t="s">
        <v>1144</v>
      </c>
      <c r="D94" s="277" t="s">
        <v>50</v>
      </c>
      <c r="E94" s="464" t="s">
        <v>1064</v>
      </c>
      <c r="F94" s="277" t="s">
        <v>0</v>
      </c>
      <c r="G94" s="362">
        <f>'Memorial de Cálculo'!L175</f>
        <v>9.49</v>
      </c>
      <c r="H94" s="362">
        <v>438.31</v>
      </c>
      <c r="I94" s="362">
        <f>ROUND(H94*($I$15/100+1),2)</f>
        <v>547.58</v>
      </c>
      <c r="J94" s="362">
        <f>ROUND(G94*I94,2)</f>
        <v>5196.53</v>
      </c>
      <c r="K94" s="465"/>
      <c r="L94" s="687"/>
    </row>
    <row r="95" spans="2:12" s="19" customFormat="1" ht="15.75">
      <c r="B95" s="464" t="s">
        <v>630</v>
      </c>
      <c r="C95" s="359" t="s">
        <v>1145</v>
      </c>
      <c r="D95" s="216" t="s">
        <v>50</v>
      </c>
      <c r="E95" s="358" t="s">
        <v>1064</v>
      </c>
      <c r="F95" s="216" t="s">
        <v>0</v>
      </c>
      <c r="G95" s="239">
        <f>'Memorial de Cálculo'!L180</f>
        <v>5.26</v>
      </c>
      <c r="H95" s="239">
        <v>438.31</v>
      </c>
      <c r="I95" s="362">
        <f>ROUND(H95*($I$15/100+1),2)</f>
        <v>547.58</v>
      </c>
      <c r="J95" s="362">
        <f>ROUND(G95*I95,2)</f>
        <v>2880.27</v>
      </c>
      <c r="K95" s="248"/>
      <c r="L95" s="238"/>
    </row>
    <row r="96" spans="2:12" s="19" customFormat="1" ht="15.75">
      <c r="B96" s="464" t="s">
        <v>631</v>
      </c>
      <c r="C96" s="359" t="s">
        <v>1143</v>
      </c>
      <c r="D96" s="216" t="s">
        <v>42</v>
      </c>
      <c r="E96" s="464">
        <v>85010</v>
      </c>
      <c r="F96" s="216" t="s">
        <v>0</v>
      </c>
      <c r="G96" s="239">
        <f>'Memorial de Cálculo'!L184</f>
        <v>4</v>
      </c>
      <c r="H96" s="239">
        <v>417.34</v>
      </c>
      <c r="I96" s="362">
        <f>ROUND(H96*($I$15/100+1),2)</f>
        <v>521.38</v>
      </c>
      <c r="J96" s="362">
        <f>ROUND(G96*I96,2)</f>
        <v>2085.52</v>
      </c>
      <c r="K96" s="248"/>
      <c r="L96" s="238"/>
    </row>
    <row r="97" spans="2:12" s="19" customFormat="1" ht="30">
      <c r="B97" s="464" t="s">
        <v>632</v>
      </c>
      <c r="C97" s="463" t="s">
        <v>1146</v>
      </c>
      <c r="D97" s="216" t="s">
        <v>50</v>
      </c>
      <c r="E97" s="464" t="s">
        <v>1074</v>
      </c>
      <c r="F97" s="216" t="s">
        <v>0</v>
      </c>
      <c r="G97" s="729">
        <f>'Memorial de Cálculo'!L189</f>
        <v>29.62</v>
      </c>
      <c r="H97" s="362">
        <v>409.97</v>
      </c>
      <c r="I97" s="362">
        <f>ROUND(H97*($I$15/100+1),2)</f>
        <v>512.18</v>
      </c>
      <c r="J97" s="362">
        <f>ROUND(G97*I97,2)</f>
        <v>15170.77</v>
      </c>
      <c r="K97" s="730"/>
      <c r="L97" s="375"/>
    </row>
    <row r="98" spans="2:12" s="19" customFormat="1" ht="15.75">
      <c r="B98" s="464" t="s">
        <v>633</v>
      </c>
      <c r="C98" s="463" t="s">
        <v>1147</v>
      </c>
      <c r="D98" s="277" t="s">
        <v>46</v>
      </c>
      <c r="E98" s="464" t="s">
        <v>1075</v>
      </c>
      <c r="F98" s="216" t="s">
        <v>0</v>
      </c>
      <c r="G98" s="729">
        <f>'Memorial de Cálculo'!L193</f>
        <v>3.612</v>
      </c>
      <c r="H98" s="362">
        <v>353.63</v>
      </c>
      <c r="I98" s="362">
        <f>ROUND(H98*($I$15/100+1),2)</f>
        <v>441.79</v>
      </c>
      <c r="J98" s="362">
        <f>ROUND(G98*I98,2)</f>
        <v>1595.75</v>
      </c>
      <c r="K98" s="730"/>
      <c r="L98" s="375"/>
    </row>
    <row r="99" spans="2:12" s="19" customFormat="1" ht="15.75">
      <c r="B99" s="571" t="s">
        <v>814</v>
      </c>
      <c r="C99" s="572" t="s">
        <v>984</v>
      </c>
      <c r="D99" s="573"/>
      <c r="E99" s="574"/>
      <c r="F99" s="575"/>
      <c r="G99" s="576"/>
      <c r="H99" s="577"/>
      <c r="I99" s="581"/>
      <c r="J99" s="582"/>
      <c r="K99" s="583"/>
      <c r="L99" s="580"/>
    </row>
    <row r="100" spans="2:12" s="633" customFormat="1" ht="15.75">
      <c r="B100" s="277" t="s">
        <v>985</v>
      </c>
      <c r="C100" s="359" t="s">
        <v>1103</v>
      </c>
      <c r="D100" s="360" t="s">
        <v>50</v>
      </c>
      <c r="E100" s="358" t="s">
        <v>1064</v>
      </c>
      <c r="F100" s="216" t="s">
        <v>0</v>
      </c>
      <c r="G100" s="239">
        <f>'Memorial de Cálculo'!L197</f>
        <v>20.790000000000006</v>
      </c>
      <c r="H100" s="361">
        <v>438.31</v>
      </c>
      <c r="I100" s="362">
        <f>ROUND(H100*($I$15/100+1),2)</f>
        <v>547.58</v>
      </c>
      <c r="J100" s="362">
        <f>ROUND(G100*I100,2)</f>
        <v>11384.19</v>
      </c>
      <c r="K100" s="363"/>
      <c r="L100" s="238"/>
    </row>
    <row r="101" spans="2:12" s="633" customFormat="1" ht="30.75" thickBot="1">
      <c r="B101" s="460" t="s">
        <v>986</v>
      </c>
      <c r="C101" s="742" t="s">
        <v>1146</v>
      </c>
      <c r="D101" s="454" t="s">
        <v>50</v>
      </c>
      <c r="E101" s="713" t="s">
        <v>1074</v>
      </c>
      <c r="F101" s="454" t="s">
        <v>0</v>
      </c>
      <c r="G101" s="743">
        <f>'Memorial de Cálculo'!L200</f>
        <v>6.720000000000001</v>
      </c>
      <c r="H101" s="458">
        <v>409.97</v>
      </c>
      <c r="I101" s="458">
        <f>ROUND(H101*($I$15/100+1),2)</f>
        <v>512.18</v>
      </c>
      <c r="J101" s="458">
        <f>ROUND(G101*I101,2)</f>
        <v>3441.85</v>
      </c>
      <c r="K101" s="611"/>
      <c r="L101" s="469"/>
    </row>
    <row r="102" spans="2:12" s="19" customFormat="1" ht="16.5" thickBot="1">
      <c r="B102" s="568" t="s">
        <v>752</v>
      </c>
      <c r="C102" s="554" t="s">
        <v>1148</v>
      </c>
      <c r="D102" s="555"/>
      <c r="E102" s="569"/>
      <c r="F102" s="556"/>
      <c r="G102" s="557"/>
      <c r="H102" s="557"/>
      <c r="I102" s="557"/>
      <c r="J102" s="558"/>
      <c r="K102" s="570">
        <f>SUM(J103:J112)</f>
        <v>25441.57</v>
      </c>
      <c r="L102" s="560">
        <f>K102/$K$341</f>
        <v>0.028835955582901175</v>
      </c>
    </row>
    <row r="103" spans="2:12" s="19" customFormat="1" ht="30">
      <c r="B103" s="241" t="s">
        <v>276</v>
      </c>
      <c r="C103" s="682" t="s">
        <v>423</v>
      </c>
      <c r="D103" s="398" t="s">
        <v>42</v>
      </c>
      <c r="E103" s="349" t="s">
        <v>432</v>
      </c>
      <c r="F103" s="241" t="s">
        <v>1</v>
      </c>
      <c r="G103" s="683" t="s">
        <v>281</v>
      </c>
      <c r="H103" s="384">
        <v>244.74</v>
      </c>
      <c r="I103" s="202">
        <f aca="true" t="shared" si="5" ref="I103:I109">ROUND(H103*($I$15/100+1),2)</f>
        <v>305.75</v>
      </c>
      <c r="J103" s="202">
        <f aca="true" t="shared" si="6" ref="J103:J108">ROUND(G103*I103,2)</f>
        <v>611.5</v>
      </c>
      <c r="K103" s="407"/>
      <c r="L103" s="408"/>
    </row>
    <row r="104" spans="2:12" s="19" customFormat="1" ht="30">
      <c r="B104" s="203" t="s">
        <v>278</v>
      </c>
      <c r="C104" s="242" t="s">
        <v>424</v>
      </c>
      <c r="D104" s="243" t="s">
        <v>42</v>
      </c>
      <c r="E104" s="244" t="s">
        <v>433</v>
      </c>
      <c r="F104" s="203" t="s">
        <v>1</v>
      </c>
      <c r="G104" s="245" t="s">
        <v>281</v>
      </c>
      <c r="H104" s="246">
        <v>249.42</v>
      </c>
      <c r="I104" s="202">
        <f t="shared" si="5"/>
        <v>311.6</v>
      </c>
      <c r="J104" s="202">
        <f t="shared" si="6"/>
        <v>623.2</v>
      </c>
      <c r="K104" s="211"/>
      <c r="L104" s="207"/>
    </row>
    <row r="105" spans="2:12" s="19" customFormat="1" ht="30">
      <c r="B105" s="203" t="s">
        <v>299</v>
      </c>
      <c r="C105" s="242" t="s">
        <v>425</v>
      </c>
      <c r="D105" s="243" t="s">
        <v>42</v>
      </c>
      <c r="E105" s="244" t="s">
        <v>434</v>
      </c>
      <c r="F105" s="203" t="s">
        <v>1</v>
      </c>
      <c r="G105" s="245" t="s">
        <v>340</v>
      </c>
      <c r="H105" s="246">
        <v>254.1</v>
      </c>
      <c r="I105" s="202">
        <f t="shared" si="5"/>
        <v>317.45</v>
      </c>
      <c r="J105" s="202">
        <f t="shared" si="6"/>
        <v>2222.15</v>
      </c>
      <c r="K105" s="211"/>
      <c r="L105" s="207"/>
    </row>
    <row r="106" spans="2:12" s="19" customFormat="1" ht="15.75">
      <c r="B106" s="203" t="s">
        <v>301</v>
      </c>
      <c r="C106" s="466" t="s">
        <v>534</v>
      </c>
      <c r="D106" s="243" t="s">
        <v>228</v>
      </c>
      <c r="E106" s="243">
        <v>230824</v>
      </c>
      <c r="F106" s="216" t="s">
        <v>0</v>
      </c>
      <c r="G106" s="467" t="s">
        <v>435</v>
      </c>
      <c r="H106" s="468">
        <v>579.6</v>
      </c>
      <c r="I106" s="362">
        <f t="shared" si="5"/>
        <v>724.09</v>
      </c>
      <c r="J106" s="362">
        <f t="shared" si="6"/>
        <v>11100.3</v>
      </c>
      <c r="K106" s="237"/>
      <c r="L106" s="469"/>
    </row>
    <row r="107" spans="2:12" s="19" customFormat="1" ht="15.75">
      <c r="B107" s="216" t="s">
        <v>302</v>
      </c>
      <c r="C107" s="470" t="s">
        <v>1149</v>
      </c>
      <c r="D107" s="243" t="s">
        <v>46</v>
      </c>
      <c r="E107" s="243" t="s">
        <v>1150</v>
      </c>
      <c r="F107" s="216" t="s">
        <v>1</v>
      </c>
      <c r="G107" s="467">
        <f>G103+G104+G105</f>
        <v>11</v>
      </c>
      <c r="H107" s="731">
        <v>78.45</v>
      </c>
      <c r="I107" s="362">
        <f t="shared" si="5"/>
        <v>98.01</v>
      </c>
      <c r="J107" s="362">
        <f t="shared" si="6"/>
        <v>1078.11</v>
      </c>
      <c r="K107" s="237"/>
      <c r="L107" s="469"/>
    </row>
    <row r="108" spans="2:12" s="19" customFormat="1" ht="30">
      <c r="B108" s="203" t="s">
        <v>302</v>
      </c>
      <c r="C108" s="470" t="s">
        <v>426</v>
      </c>
      <c r="D108" s="243" t="s">
        <v>228</v>
      </c>
      <c r="E108" s="243">
        <v>300102</v>
      </c>
      <c r="F108" s="216" t="s">
        <v>1</v>
      </c>
      <c r="G108" s="467" t="s">
        <v>405</v>
      </c>
      <c r="H108" s="468">
        <v>122.98</v>
      </c>
      <c r="I108" s="362">
        <f t="shared" si="5"/>
        <v>153.64</v>
      </c>
      <c r="J108" s="362">
        <f t="shared" si="6"/>
        <v>1536.4</v>
      </c>
      <c r="K108" s="237"/>
      <c r="L108" s="469"/>
    </row>
    <row r="109" spans="2:12" s="19" customFormat="1" ht="15.75">
      <c r="B109" s="203" t="s">
        <v>815</v>
      </c>
      <c r="C109" s="242" t="s">
        <v>861</v>
      </c>
      <c r="D109" s="243" t="s">
        <v>130</v>
      </c>
      <c r="E109" s="244"/>
      <c r="F109" s="203" t="s">
        <v>0</v>
      </c>
      <c r="G109" s="204">
        <f>'Memorial de Cálculo'!L207</f>
        <v>26.36</v>
      </c>
      <c r="H109" s="246">
        <f>'Composições de Custo'!I273</f>
        <v>174.49000000000004</v>
      </c>
      <c r="I109" s="362">
        <f t="shared" si="5"/>
        <v>217.99</v>
      </c>
      <c r="J109" s="362">
        <f>ROUND(G109*I109,2)</f>
        <v>5746.22</v>
      </c>
      <c r="K109" s="211"/>
      <c r="L109" s="207"/>
    </row>
    <row r="110" spans="2:12" s="19" customFormat="1" ht="15.75">
      <c r="B110" s="571" t="s">
        <v>815</v>
      </c>
      <c r="C110" s="572" t="s">
        <v>794</v>
      </c>
      <c r="D110" s="573"/>
      <c r="E110" s="574"/>
      <c r="F110" s="575"/>
      <c r="G110" s="576"/>
      <c r="H110" s="577"/>
      <c r="I110" s="581"/>
      <c r="J110" s="582"/>
      <c r="K110" s="583"/>
      <c r="L110" s="580"/>
    </row>
    <row r="111" spans="2:12" s="19" customFormat="1" ht="30">
      <c r="B111" s="216" t="s">
        <v>816</v>
      </c>
      <c r="C111" s="466" t="s">
        <v>1005</v>
      </c>
      <c r="D111" s="243" t="s">
        <v>130</v>
      </c>
      <c r="E111" s="243"/>
      <c r="F111" s="216" t="s">
        <v>1</v>
      </c>
      <c r="G111" s="239">
        <f>'Memorial de Cálculo'!L211</f>
        <v>2</v>
      </c>
      <c r="H111" s="468">
        <f>'Composições de Custo'!I88</f>
        <v>535.4300000000001</v>
      </c>
      <c r="I111" s="362">
        <f>ROUND(H111*($I$15/100+1),2)</f>
        <v>668.91</v>
      </c>
      <c r="J111" s="362">
        <f>ROUND(G111*I111,2)</f>
        <v>1337.82</v>
      </c>
      <c r="K111" s="237"/>
      <c r="L111" s="238"/>
    </row>
    <row r="112" spans="2:12" s="19" customFormat="1" ht="16.5" thickBot="1">
      <c r="B112" s="564" t="s">
        <v>862</v>
      </c>
      <c r="C112" s="758" t="s">
        <v>861</v>
      </c>
      <c r="D112" s="243" t="s">
        <v>130</v>
      </c>
      <c r="E112" s="759"/>
      <c r="F112" s="564" t="s">
        <v>0</v>
      </c>
      <c r="G112" s="565">
        <f>'Memorial de Cálculo'!L214</f>
        <v>5.44</v>
      </c>
      <c r="H112" s="760">
        <f>'Composições de Custo'!I273</f>
        <v>174.49000000000004</v>
      </c>
      <c r="I112" s="362">
        <f>ROUND(H112*($I$15/100+1),2)</f>
        <v>217.99</v>
      </c>
      <c r="J112" s="362">
        <f>ROUND(G112*I112,2)</f>
        <v>1185.87</v>
      </c>
      <c r="K112" s="741"/>
      <c r="L112" s="567"/>
    </row>
    <row r="113" spans="2:12" s="19" customFormat="1" ht="16.5" thickBot="1">
      <c r="B113" s="568" t="s">
        <v>22</v>
      </c>
      <c r="C113" s="554" t="s">
        <v>102</v>
      </c>
      <c r="D113" s="555"/>
      <c r="E113" s="569"/>
      <c r="F113" s="556"/>
      <c r="G113" s="557"/>
      <c r="H113" s="557"/>
      <c r="I113" s="557"/>
      <c r="J113" s="558"/>
      <c r="K113" s="570">
        <f>SUM(J114:J166)</f>
        <v>70560.70000000001</v>
      </c>
      <c r="L113" s="560">
        <f>K113/$K$341</f>
        <v>0.07997482903368051</v>
      </c>
    </row>
    <row r="114" spans="2:12" s="19" customFormat="1" ht="15.75">
      <c r="B114" s="584" t="s">
        <v>66</v>
      </c>
      <c r="C114" s="586" t="s">
        <v>277</v>
      </c>
      <c r="D114" s="587"/>
      <c r="E114" s="588"/>
      <c r="F114" s="589"/>
      <c r="G114" s="590"/>
      <c r="H114" s="591"/>
      <c r="I114" s="576"/>
      <c r="J114" s="576"/>
      <c r="K114" s="592"/>
      <c r="L114" s="580"/>
    </row>
    <row r="115" spans="2:12" s="19" customFormat="1" ht="15.75">
      <c r="B115" s="368" t="s">
        <v>818</v>
      </c>
      <c r="C115" s="369" t="s">
        <v>318</v>
      </c>
      <c r="D115" s="370" t="s">
        <v>42</v>
      </c>
      <c r="E115" s="216" t="s">
        <v>514</v>
      </c>
      <c r="F115" s="371" t="s">
        <v>0</v>
      </c>
      <c r="G115" s="372">
        <f>2</f>
        <v>2</v>
      </c>
      <c r="H115" s="373">
        <v>153.98</v>
      </c>
      <c r="I115" s="362">
        <f>ROUND(H115*($I$15/100+1),2)</f>
        <v>192.37</v>
      </c>
      <c r="J115" s="362">
        <f>ROUND(G115*I115,2)</f>
        <v>384.74</v>
      </c>
      <c r="K115" s="374"/>
      <c r="L115" s="375"/>
    </row>
    <row r="116" spans="2:12" s="19" customFormat="1" ht="30">
      <c r="B116" s="368" t="s">
        <v>819</v>
      </c>
      <c r="C116" s="226" t="s">
        <v>319</v>
      </c>
      <c r="D116" s="227" t="s">
        <v>42</v>
      </c>
      <c r="E116" s="203">
        <v>89708</v>
      </c>
      <c r="F116" s="213" t="s">
        <v>1</v>
      </c>
      <c r="G116" s="205" t="s">
        <v>282</v>
      </c>
      <c r="H116" s="229">
        <v>38.42</v>
      </c>
      <c r="I116" s="202">
        <f>ROUND(H116*($I$15/100+1),2)</f>
        <v>48</v>
      </c>
      <c r="J116" s="202">
        <f>ROUND(G116*I116,2)</f>
        <v>672</v>
      </c>
      <c r="K116" s="230"/>
      <c r="L116" s="207"/>
    </row>
    <row r="117" spans="2:12" s="19" customFormat="1" ht="15.75">
      <c r="B117" s="368" t="s">
        <v>820</v>
      </c>
      <c r="C117" s="234" t="s">
        <v>320</v>
      </c>
      <c r="D117" s="227" t="s">
        <v>130</v>
      </c>
      <c r="E117" s="216"/>
      <c r="F117" s="220" t="s">
        <v>34</v>
      </c>
      <c r="G117" s="235" t="s">
        <v>284</v>
      </c>
      <c r="H117" s="448">
        <f>'Composições de Custo'!I106</f>
        <v>24.82</v>
      </c>
      <c r="I117" s="362">
        <f aca="true" t="shared" si="7" ref="I117:I144">ROUND(H117*($I$15/100+1),2)</f>
        <v>31.01</v>
      </c>
      <c r="J117" s="362">
        <f aca="true" t="shared" si="8" ref="J117:J144">ROUND(G117*I117,2)</f>
        <v>1674.54</v>
      </c>
      <c r="K117" s="449"/>
      <c r="L117" s="238"/>
    </row>
    <row r="118" spans="2:12" s="19" customFormat="1" ht="15.75">
      <c r="B118" s="368" t="s">
        <v>821</v>
      </c>
      <c r="C118" s="234" t="s">
        <v>321</v>
      </c>
      <c r="D118" s="227" t="s">
        <v>130</v>
      </c>
      <c r="E118" s="216"/>
      <c r="F118" s="220" t="s">
        <v>34</v>
      </c>
      <c r="G118" s="235" t="s">
        <v>285</v>
      </c>
      <c r="H118" s="236">
        <f>'Composições de Custo'!I124</f>
        <v>26.480000000000004</v>
      </c>
      <c r="I118" s="362">
        <f t="shared" si="7"/>
        <v>33.08</v>
      </c>
      <c r="J118" s="362">
        <f t="shared" si="8"/>
        <v>2150.2</v>
      </c>
      <c r="K118" s="449"/>
      <c r="L118" s="238"/>
    </row>
    <row r="119" spans="2:12" s="19" customFormat="1" ht="15.75">
      <c r="B119" s="368" t="s">
        <v>822</v>
      </c>
      <c r="C119" s="234" t="s">
        <v>322</v>
      </c>
      <c r="D119" s="227" t="s">
        <v>130</v>
      </c>
      <c r="E119" s="216"/>
      <c r="F119" s="220" t="s">
        <v>34</v>
      </c>
      <c r="G119" s="235" t="s">
        <v>241</v>
      </c>
      <c r="H119" s="236">
        <f>'Composições de Custo'!I142</f>
        <v>32.019999999999996</v>
      </c>
      <c r="I119" s="362">
        <f t="shared" si="7"/>
        <v>40</v>
      </c>
      <c r="J119" s="362">
        <f t="shared" si="8"/>
        <v>40</v>
      </c>
      <c r="K119" s="449"/>
      <c r="L119" s="238"/>
    </row>
    <row r="120" spans="2:12" s="19" customFormat="1" ht="15.75">
      <c r="B120" s="368" t="s">
        <v>823</v>
      </c>
      <c r="C120" s="369" t="s">
        <v>323</v>
      </c>
      <c r="D120" s="227" t="s">
        <v>130</v>
      </c>
      <c r="E120" s="216"/>
      <c r="F120" s="220" t="s">
        <v>34</v>
      </c>
      <c r="G120" s="372" t="s">
        <v>286</v>
      </c>
      <c r="H120" s="373">
        <f>'Composições de Custo'!I160</f>
        <v>41.69</v>
      </c>
      <c r="I120" s="362">
        <f t="shared" si="7"/>
        <v>52.08</v>
      </c>
      <c r="J120" s="362">
        <f t="shared" si="8"/>
        <v>4687.2</v>
      </c>
      <c r="K120" s="449"/>
      <c r="L120" s="238"/>
    </row>
    <row r="121" spans="2:12" s="19" customFormat="1" ht="30">
      <c r="B121" s="368" t="s">
        <v>1091</v>
      </c>
      <c r="C121" s="231" t="s">
        <v>324</v>
      </c>
      <c r="D121" s="232" t="s">
        <v>42</v>
      </c>
      <c r="E121" s="203" t="s">
        <v>482</v>
      </c>
      <c r="F121" s="213" t="s">
        <v>1</v>
      </c>
      <c r="G121" s="233" t="s">
        <v>281</v>
      </c>
      <c r="H121" s="356">
        <v>1006.19</v>
      </c>
      <c r="I121" s="202">
        <f t="shared" si="7"/>
        <v>1257.03</v>
      </c>
      <c r="J121" s="202">
        <f t="shared" si="8"/>
        <v>2514.06</v>
      </c>
      <c r="K121" s="211"/>
      <c r="L121" s="207"/>
    </row>
    <row r="122" spans="2:12" s="19" customFormat="1" ht="15.75">
      <c r="B122" s="584" t="s">
        <v>110</v>
      </c>
      <c r="C122" s="586" t="s">
        <v>634</v>
      </c>
      <c r="D122" s="587"/>
      <c r="E122" s="588"/>
      <c r="F122" s="589"/>
      <c r="G122" s="590"/>
      <c r="H122" s="591"/>
      <c r="I122" s="576"/>
      <c r="J122" s="576"/>
      <c r="K122" s="592"/>
      <c r="L122" s="580"/>
    </row>
    <row r="123" spans="2:12" s="19" customFormat="1" ht="15.75">
      <c r="B123" s="225" t="s">
        <v>824</v>
      </c>
      <c r="C123" s="226" t="s">
        <v>325</v>
      </c>
      <c r="D123" s="212" t="s">
        <v>42</v>
      </c>
      <c r="E123" s="203" t="s">
        <v>279</v>
      </c>
      <c r="F123" s="213" t="s">
        <v>1</v>
      </c>
      <c r="G123" s="205" t="s">
        <v>241</v>
      </c>
      <c r="H123" s="229">
        <v>41.49</v>
      </c>
      <c r="I123" s="202">
        <f t="shared" si="7"/>
        <v>51.83</v>
      </c>
      <c r="J123" s="202">
        <f t="shared" si="8"/>
        <v>51.83</v>
      </c>
      <c r="K123" s="211"/>
      <c r="L123" s="207"/>
    </row>
    <row r="124" spans="2:12" s="19" customFormat="1" ht="30">
      <c r="B124" s="225" t="s">
        <v>825</v>
      </c>
      <c r="C124" s="226" t="s">
        <v>326</v>
      </c>
      <c r="D124" s="227" t="s">
        <v>42</v>
      </c>
      <c r="E124" s="203">
        <v>89985</v>
      </c>
      <c r="F124" s="213" t="s">
        <v>1</v>
      </c>
      <c r="G124" s="205" t="s">
        <v>240</v>
      </c>
      <c r="H124" s="229">
        <v>48.12</v>
      </c>
      <c r="I124" s="202">
        <f t="shared" si="7"/>
        <v>60.12</v>
      </c>
      <c r="J124" s="202">
        <f t="shared" si="8"/>
        <v>480.96</v>
      </c>
      <c r="K124" s="211"/>
      <c r="L124" s="207"/>
    </row>
    <row r="125" spans="2:12" s="19" customFormat="1" ht="15.75">
      <c r="B125" s="225" t="s">
        <v>826</v>
      </c>
      <c r="C125" s="234" t="s">
        <v>327</v>
      </c>
      <c r="D125" s="227" t="s">
        <v>42</v>
      </c>
      <c r="E125" s="203">
        <v>89353</v>
      </c>
      <c r="F125" s="213" t="s">
        <v>1</v>
      </c>
      <c r="G125" s="205" t="s">
        <v>241</v>
      </c>
      <c r="H125" s="292">
        <v>22.91</v>
      </c>
      <c r="I125" s="202">
        <f t="shared" si="7"/>
        <v>28.62</v>
      </c>
      <c r="J125" s="202">
        <f t="shared" si="8"/>
        <v>28.62</v>
      </c>
      <c r="K125" s="211"/>
      <c r="L125" s="207"/>
    </row>
    <row r="126" spans="2:12" s="19" customFormat="1" ht="15.75">
      <c r="B126" s="225" t="s">
        <v>827</v>
      </c>
      <c r="C126" s="234" t="s">
        <v>328</v>
      </c>
      <c r="D126" s="227" t="s">
        <v>42</v>
      </c>
      <c r="E126" s="203" t="s">
        <v>280</v>
      </c>
      <c r="F126" s="213" t="s">
        <v>1</v>
      </c>
      <c r="G126" s="235" t="s">
        <v>287</v>
      </c>
      <c r="H126" s="236">
        <v>59.19</v>
      </c>
      <c r="I126" s="202">
        <f t="shared" si="7"/>
        <v>73.95</v>
      </c>
      <c r="J126" s="202">
        <f t="shared" si="8"/>
        <v>1257.15</v>
      </c>
      <c r="K126" s="237"/>
      <c r="L126" s="238"/>
    </row>
    <row r="127" spans="2:12" s="19" customFormat="1" ht="15.75">
      <c r="B127" s="225" t="s">
        <v>828</v>
      </c>
      <c r="C127" s="234" t="s">
        <v>329</v>
      </c>
      <c r="D127" s="227" t="s">
        <v>46</v>
      </c>
      <c r="E127" s="216" t="s">
        <v>717</v>
      </c>
      <c r="F127" s="220" t="s">
        <v>34</v>
      </c>
      <c r="G127" s="235">
        <v>150</v>
      </c>
      <c r="H127" s="236">
        <v>12.86</v>
      </c>
      <c r="I127" s="362">
        <f t="shared" si="7"/>
        <v>16.07</v>
      </c>
      <c r="J127" s="362">
        <f t="shared" si="8"/>
        <v>2410.5</v>
      </c>
      <c r="K127" s="237"/>
      <c r="L127" s="238"/>
    </row>
    <row r="128" spans="2:12" s="19" customFormat="1" ht="15.75">
      <c r="B128" s="225" t="s">
        <v>829</v>
      </c>
      <c r="C128" s="234" t="s">
        <v>330</v>
      </c>
      <c r="D128" s="227" t="s">
        <v>46</v>
      </c>
      <c r="E128" s="216" t="s">
        <v>718</v>
      </c>
      <c r="F128" s="220" t="s">
        <v>34</v>
      </c>
      <c r="G128" s="235" t="s">
        <v>289</v>
      </c>
      <c r="H128" s="448">
        <v>18.62</v>
      </c>
      <c r="I128" s="362">
        <f t="shared" si="7"/>
        <v>23.26</v>
      </c>
      <c r="J128" s="362">
        <f t="shared" si="8"/>
        <v>139.56</v>
      </c>
      <c r="K128" s="237"/>
      <c r="L128" s="238"/>
    </row>
    <row r="129" spans="2:12" s="19" customFormat="1" ht="15.75">
      <c r="B129" s="225" t="s">
        <v>830</v>
      </c>
      <c r="C129" s="234" t="s">
        <v>331</v>
      </c>
      <c r="D129" s="227" t="s">
        <v>46</v>
      </c>
      <c r="E129" s="216" t="s">
        <v>719</v>
      </c>
      <c r="F129" s="220" t="s">
        <v>34</v>
      </c>
      <c r="G129" s="235" t="s">
        <v>290</v>
      </c>
      <c r="H129" s="236">
        <v>22.98</v>
      </c>
      <c r="I129" s="362">
        <f t="shared" si="7"/>
        <v>28.71</v>
      </c>
      <c r="J129" s="362">
        <f t="shared" si="8"/>
        <v>689.04</v>
      </c>
      <c r="K129" s="237"/>
      <c r="L129" s="238"/>
    </row>
    <row r="130" spans="2:12" s="19" customFormat="1" ht="15.75">
      <c r="B130" s="225" t="s">
        <v>831</v>
      </c>
      <c r="C130" s="234" t="s">
        <v>483</v>
      </c>
      <c r="D130" s="227" t="s">
        <v>42</v>
      </c>
      <c r="E130" s="227">
        <v>88503</v>
      </c>
      <c r="F130" s="220" t="s">
        <v>1</v>
      </c>
      <c r="G130" s="205" t="s">
        <v>281</v>
      </c>
      <c r="H130" s="229">
        <v>591.56</v>
      </c>
      <c r="I130" s="202">
        <f t="shared" si="7"/>
        <v>739.04</v>
      </c>
      <c r="J130" s="202">
        <f t="shared" si="8"/>
        <v>1478.08</v>
      </c>
      <c r="K130" s="211"/>
      <c r="L130" s="207"/>
    </row>
    <row r="131" spans="2:12" s="19" customFormat="1" ht="15.75">
      <c r="B131" s="584" t="s">
        <v>467</v>
      </c>
      <c r="C131" s="586" t="s">
        <v>298</v>
      </c>
      <c r="D131" s="587"/>
      <c r="E131" s="588"/>
      <c r="F131" s="589"/>
      <c r="G131" s="590"/>
      <c r="H131" s="591"/>
      <c r="I131" s="576"/>
      <c r="J131" s="576"/>
      <c r="K131" s="592"/>
      <c r="L131" s="580"/>
    </row>
    <row r="132" spans="2:12" s="19" customFormat="1" ht="15.75">
      <c r="B132" s="447" t="s">
        <v>832</v>
      </c>
      <c r="C132" s="234" t="s">
        <v>329</v>
      </c>
      <c r="D132" s="227" t="s">
        <v>46</v>
      </c>
      <c r="E132" s="216" t="s">
        <v>717</v>
      </c>
      <c r="F132" s="220" t="s">
        <v>34</v>
      </c>
      <c r="G132" s="235" t="s">
        <v>291</v>
      </c>
      <c r="H132" s="236">
        <v>12.86</v>
      </c>
      <c r="I132" s="362">
        <f t="shared" si="7"/>
        <v>16.07</v>
      </c>
      <c r="J132" s="362">
        <f t="shared" si="8"/>
        <v>771.36</v>
      </c>
      <c r="K132" s="237"/>
      <c r="L132" s="238"/>
    </row>
    <row r="133" spans="2:12" s="19" customFormat="1" ht="15.75">
      <c r="B133" s="447" t="s">
        <v>833</v>
      </c>
      <c r="C133" s="234" t="s">
        <v>332</v>
      </c>
      <c r="D133" s="227" t="s">
        <v>130</v>
      </c>
      <c r="E133" s="216"/>
      <c r="F133" s="220" t="s">
        <v>34</v>
      </c>
      <c r="G133" s="235">
        <v>12</v>
      </c>
      <c r="H133" s="236">
        <f>'Composições de Custo'!I124</f>
        <v>26.480000000000004</v>
      </c>
      <c r="I133" s="362">
        <f t="shared" si="7"/>
        <v>33.08</v>
      </c>
      <c r="J133" s="362">
        <f t="shared" si="8"/>
        <v>396.96</v>
      </c>
      <c r="K133" s="237"/>
      <c r="L133" s="238"/>
    </row>
    <row r="134" spans="2:12" s="19" customFormat="1" ht="15.75">
      <c r="B134" s="447" t="s">
        <v>834</v>
      </c>
      <c r="C134" s="234" t="s">
        <v>333</v>
      </c>
      <c r="D134" s="227" t="s">
        <v>130</v>
      </c>
      <c r="E134" s="216"/>
      <c r="F134" s="220" t="s">
        <v>34</v>
      </c>
      <c r="G134" s="235" t="s">
        <v>293</v>
      </c>
      <c r="H134" s="448">
        <f>'Composições de Custo'!I142</f>
        <v>32.019999999999996</v>
      </c>
      <c r="I134" s="362">
        <f t="shared" si="7"/>
        <v>40</v>
      </c>
      <c r="J134" s="362">
        <f t="shared" si="8"/>
        <v>1680</v>
      </c>
      <c r="K134" s="237"/>
      <c r="L134" s="238"/>
    </row>
    <row r="135" spans="2:12" s="19" customFormat="1" ht="15.75">
      <c r="B135" s="447" t="s">
        <v>835</v>
      </c>
      <c r="C135" s="234" t="s">
        <v>334</v>
      </c>
      <c r="D135" s="227" t="s">
        <v>130</v>
      </c>
      <c r="E135" s="216"/>
      <c r="F135" s="220" t="s">
        <v>34</v>
      </c>
      <c r="G135" s="235" t="s">
        <v>294</v>
      </c>
      <c r="H135" s="236">
        <f>'Composições de Custo'!I160</f>
        <v>41.69</v>
      </c>
      <c r="I135" s="362">
        <f t="shared" si="7"/>
        <v>52.08</v>
      </c>
      <c r="J135" s="362">
        <f t="shared" si="8"/>
        <v>6562.08</v>
      </c>
      <c r="K135" s="237"/>
      <c r="L135" s="238"/>
    </row>
    <row r="136" spans="2:12" s="19" customFormat="1" ht="15.75">
      <c r="B136" s="447" t="s">
        <v>836</v>
      </c>
      <c r="C136" s="234" t="s">
        <v>335</v>
      </c>
      <c r="D136" s="227" t="s">
        <v>130</v>
      </c>
      <c r="E136" s="216"/>
      <c r="F136" s="220" t="s">
        <v>34</v>
      </c>
      <c r="G136" s="235" t="s">
        <v>295</v>
      </c>
      <c r="H136" s="236">
        <f>'Composições de Custo'!I178</f>
        <v>59.230000000000004</v>
      </c>
      <c r="I136" s="362">
        <f t="shared" si="7"/>
        <v>74</v>
      </c>
      <c r="J136" s="362">
        <f t="shared" si="8"/>
        <v>1332</v>
      </c>
      <c r="K136" s="237"/>
      <c r="L136" s="238"/>
    </row>
    <row r="137" spans="2:12" s="19" customFormat="1" ht="15.75">
      <c r="B137" s="447" t="s">
        <v>837</v>
      </c>
      <c r="C137" s="234" t="s">
        <v>336</v>
      </c>
      <c r="D137" s="227" t="s">
        <v>130</v>
      </c>
      <c r="E137" s="216"/>
      <c r="F137" s="220" t="s">
        <v>34</v>
      </c>
      <c r="G137" s="235" t="s">
        <v>296</v>
      </c>
      <c r="H137" s="448">
        <f>'Composições de Custo'!I199</f>
        <v>85.71</v>
      </c>
      <c r="I137" s="362">
        <f>ROUND(H137*($I$15/100+1),2)</f>
        <v>107.08</v>
      </c>
      <c r="J137" s="362">
        <f>ROUND(G137*I137,2)</f>
        <v>2623.46</v>
      </c>
      <c r="K137" s="237"/>
      <c r="L137" s="238"/>
    </row>
    <row r="138" spans="2:12" s="19" customFormat="1" ht="15.75">
      <c r="B138" s="447" t="s">
        <v>838</v>
      </c>
      <c r="C138" s="234" t="s">
        <v>337</v>
      </c>
      <c r="D138" s="227" t="s">
        <v>130</v>
      </c>
      <c r="E138" s="216"/>
      <c r="F138" s="220" t="s">
        <v>0</v>
      </c>
      <c r="G138" s="235" t="s">
        <v>297</v>
      </c>
      <c r="H138" s="236">
        <f>'Composições de Custo'!I218</f>
        <v>196.41000000000003</v>
      </c>
      <c r="I138" s="362">
        <f t="shared" si="7"/>
        <v>245.38</v>
      </c>
      <c r="J138" s="362">
        <f t="shared" si="8"/>
        <v>530.02</v>
      </c>
      <c r="K138" s="237"/>
      <c r="L138" s="238"/>
    </row>
    <row r="139" spans="2:12" s="19" customFormat="1" ht="15.75">
      <c r="B139" s="584" t="s">
        <v>470</v>
      </c>
      <c r="C139" s="586" t="s">
        <v>300</v>
      </c>
      <c r="D139" s="587"/>
      <c r="E139" s="588"/>
      <c r="F139" s="589"/>
      <c r="G139" s="590"/>
      <c r="H139" s="591"/>
      <c r="I139" s="576"/>
      <c r="J139" s="576"/>
      <c r="K139" s="592"/>
      <c r="L139" s="580"/>
    </row>
    <row r="140" spans="2:12" s="19" customFormat="1" ht="15.75">
      <c r="B140" s="225" t="s">
        <v>839</v>
      </c>
      <c r="C140" s="226" t="s">
        <v>338</v>
      </c>
      <c r="D140" s="227" t="s">
        <v>42</v>
      </c>
      <c r="E140" s="203">
        <v>86931</v>
      </c>
      <c r="F140" s="213" t="s">
        <v>1</v>
      </c>
      <c r="G140" s="205" t="s">
        <v>240</v>
      </c>
      <c r="H140" s="229">
        <v>281.56</v>
      </c>
      <c r="I140" s="202">
        <f t="shared" si="7"/>
        <v>351.75</v>
      </c>
      <c r="J140" s="202">
        <f t="shared" si="8"/>
        <v>2814</v>
      </c>
      <c r="K140" s="211"/>
      <c r="L140" s="207"/>
    </row>
    <row r="141" spans="2:12" s="19" customFormat="1" ht="15.75">
      <c r="B141" s="225" t="s">
        <v>840</v>
      </c>
      <c r="C141" s="234" t="s">
        <v>1151</v>
      </c>
      <c r="D141" s="227" t="s">
        <v>46</v>
      </c>
      <c r="E141" s="227" t="s">
        <v>586</v>
      </c>
      <c r="F141" s="220" t="s">
        <v>1</v>
      </c>
      <c r="G141" s="235" t="s">
        <v>289</v>
      </c>
      <c r="H141" s="236">
        <v>1607.29</v>
      </c>
      <c r="I141" s="362">
        <f t="shared" si="7"/>
        <v>2007.99</v>
      </c>
      <c r="J141" s="362">
        <f t="shared" si="8"/>
        <v>12047.94</v>
      </c>
      <c r="K141" s="237"/>
      <c r="L141" s="238"/>
    </row>
    <row r="142" spans="2:12" s="19" customFormat="1" ht="45">
      <c r="B142" s="225" t="s">
        <v>841</v>
      </c>
      <c r="C142" s="234" t="s">
        <v>339</v>
      </c>
      <c r="D142" s="227" t="s">
        <v>42</v>
      </c>
      <c r="E142" s="227">
        <v>86942</v>
      </c>
      <c r="F142" s="220" t="s">
        <v>1</v>
      </c>
      <c r="G142" s="235">
        <v>10</v>
      </c>
      <c r="H142" s="236">
        <v>119.59</v>
      </c>
      <c r="I142" s="362">
        <f t="shared" si="7"/>
        <v>149.4</v>
      </c>
      <c r="J142" s="362">
        <f t="shared" si="8"/>
        <v>1494</v>
      </c>
      <c r="K142" s="237"/>
      <c r="L142" s="238"/>
    </row>
    <row r="143" spans="2:12" s="19" customFormat="1" ht="15.75">
      <c r="B143" s="447" t="s">
        <v>842</v>
      </c>
      <c r="C143" s="234" t="s">
        <v>1152</v>
      </c>
      <c r="D143" s="227" t="s">
        <v>46</v>
      </c>
      <c r="E143" s="227" t="s">
        <v>1153</v>
      </c>
      <c r="F143" s="220" t="s">
        <v>1</v>
      </c>
      <c r="G143" s="450">
        <v>5</v>
      </c>
      <c r="H143" s="236">
        <v>223.83</v>
      </c>
      <c r="I143" s="362">
        <f t="shared" si="7"/>
        <v>279.63</v>
      </c>
      <c r="J143" s="362">
        <f t="shared" si="8"/>
        <v>1398.15</v>
      </c>
      <c r="K143" s="237"/>
      <c r="L143" s="238"/>
    </row>
    <row r="144" spans="2:12" s="19" customFormat="1" ht="30">
      <c r="B144" s="225" t="s">
        <v>843</v>
      </c>
      <c r="C144" s="226" t="s">
        <v>316</v>
      </c>
      <c r="D144" s="212" t="s">
        <v>42</v>
      </c>
      <c r="E144" s="212">
        <v>9535</v>
      </c>
      <c r="F144" s="213" t="s">
        <v>1</v>
      </c>
      <c r="G144" s="205" t="s">
        <v>340</v>
      </c>
      <c r="H144" s="229">
        <v>52.09</v>
      </c>
      <c r="I144" s="202">
        <f t="shared" si="7"/>
        <v>65.08</v>
      </c>
      <c r="J144" s="202">
        <f t="shared" si="8"/>
        <v>455.56</v>
      </c>
      <c r="K144" s="211"/>
      <c r="L144" s="207"/>
    </row>
    <row r="145" spans="2:12" s="19" customFormat="1" ht="30">
      <c r="B145" s="225" t="s">
        <v>844</v>
      </c>
      <c r="C145" s="234" t="s">
        <v>515</v>
      </c>
      <c r="D145" s="227" t="s">
        <v>228</v>
      </c>
      <c r="E145" s="227">
        <v>300803</v>
      </c>
      <c r="F145" s="220" t="s">
        <v>1</v>
      </c>
      <c r="G145" s="235" t="s">
        <v>341</v>
      </c>
      <c r="H145" s="236">
        <v>706.97</v>
      </c>
      <c r="I145" s="362">
        <f aca="true" t="shared" si="9" ref="I145:I164">ROUND(H145*($I$15/100+1),2)</f>
        <v>883.22</v>
      </c>
      <c r="J145" s="362">
        <f aca="true" t="shared" si="10" ref="J145:J164">ROUND(G145*I145,2)</f>
        <v>4416.1</v>
      </c>
      <c r="K145" s="237"/>
      <c r="L145" s="238"/>
    </row>
    <row r="146" spans="2:12" s="19" customFormat="1" ht="30">
      <c r="B146" s="225" t="s">
        <v>845</v>
      </c>
      <c r="C146" s="234" t="s">
        <v>315</v>
      </c>
      <c r="D146" s="227" t="s">
        <v>228</v>
      </c>
      <c r="E146" s="227">
        <v>300103</v>
      </c>
      <c r="F146" s="220" t="s">
        <v>1</v>
      </c>
      <c r="G146" s="235" t="s">
        <v>342</v>
      </c>
      <c r="H146" s="236">
        <v>135.52</v>
      </c>
      <c r="I146" s="362">
        <f t="shared" si="9"/>
        <v>169.31</v>
      </c>
      <c r="J146" s="362">
        <f t="shared" si="10"/>
        <v>2539.65</v>
      </c>
      <c r="K146" s="237"/>
      <c r="L146" s="238"/>
    </row>
    <row r="147" spans="2:12" s="19" customFormat="1" ht="30">
      <c r="B147" s="225" t="s">
        <v>846</v>
      </c>
      <c r="C147" s="234" t="s">
        <v>314</v>
      </c>
      <c r="D147" s="227" t="s">
        <v>228</v>
      </c>
      <c r="E147" s="227">
        <v>300104</v>
      </c>
      <c r="F147" s="220" t="s">
        <v>1</v>
      </c>
      <c r="G147" s="235" t="s">
        <v>343</v>
      </c>
      <c r="H147" s="236">
        <v>144.9</v>
      </c>
      <c r="I147" s="362">
        <f t="shared" si="9"/>
        <v>181.02</v>
      </c>
      <c r="J147" s="362">
        <f t="shared" si="10"/>
        <v>724.08</v>
      </c>
      <c r="K147" s="237"/>
      <c r="L147" s="238"/>
    </row>
    <row r="148" spans="2:12" s="19" customFormat="1" ht="45">
      <c r="B148" s="225" t="s">
        <v>847</v>
      </c>
      <c r="C148" s="226" t="s">
        <v>313</v>
      </c>
      <c r="D148" s="212" t="s">
        <v>42</v>
      </c>
      <c r="E148" s="212">
        <v>86936</v>
      </c>
      <c r="F148" s="213" t="s">
        <v>1</v>
      </c>
      <c r="G148" s="205" t="s">
        <v>241</v>
      </c>
      <c r="H148" s="229">
        <v>267.17</v>
      </c>
      <c r="I148" s="202">
        <f t="shared" si="9"/>
        <v>333.78</v>
      </c>
      <c r="J148" s="202">
        <f t="shared" si="10"/>
        <v>333.78</v>
      </c>
      <c r="K148" s="211"/>
      <c r="L148" s="207"/>
    </row>
    <row r="149" spans="2:12" s="19" customFormat="1" ht="30">
      <c r="B149" s="225" t="s">
        <v>848</v>
      </c>
      <c r="C149" s="226" t="s">
        <v>312</v>
      </c>
      <c r="D149" s="212" t="s">
        <v>42</v>
      </c>
      <c r="E149" s="212">
        <v>86909</v>
      </c>
      <c r="F149" s="213" t="s">
        <v>1</v>
      </c>
      <c r="G149" s="205" t="s">
        <v>241</v>
      </c>
      <c r="H149" s="229">
        <v>63.52</v>
      </c>
      <c r="I149" s="202">
        <f t="shared" si="9"/>
        <v>79.36</v>
      </c>
      <c r="J149" s="202">
        <f t="shared" si="10"/>
        <v>79.36</v>
      </c>
      <c r="K149" s="211"/>
      <c r="L149" s="207"/>
    </row>
    <row r="150" spans="2:12" s="19" customFormat="1" ht="30">
      <c r="B150" s="225" t="s">
        <v>849</v>
      </c>
      <c r="C150" s="234" t="s">
        <v>311</v>
      </c>
      <c r="D150" s="227" t="s">
        <v>46</v>
      </c>
      <c r="E150" s="227" t="s">
        <v>587</v>
      </c>
      <c r="F150" s="220" t="s">
        <v>0</v>
      </c>
      <c r="G150" s="235">
        <f>0.6*12.3</f>
        <v>7.38</v>
      </c>
      <c r="H150" s="236">
        <v>279.46</v>
      </c>
      <c r="I150" s="362">
        <f t="shared" si="9"/>
        <v>349.13</v>
      </c>
      <c r="J150" s="362">
        <f t="shared" si="10"/>
        <v>2576.58</v>
      </c>
      <c r="K150" s="237"/>
      <c r="L150" s="238"/>
    </row>
    <row r="151" spans="2:12" s="19" customFormat="1" ht="30">
      <c r="B151" s="447" t="s">
        <v>850</v>
      </c>
      <c r="C151" s="234" t="s">
        <v>1154</v>
      </c>
      <c r="D151" s="227" t="s">
        <v>46</v>
      </c>
      <c r="E151" s="227" t="s">
        <v>1155</v>
      </c>
      <c r="F151" s="220" t="s">
        <v>1</v>
      </c>
      <c r="G151" s="450">
        <v>1</v>
      </c>
      <c r="H151" s="236">
        <v>587.43</v>
      </c>
      <c r="I151" s="362">
        <f t="shared" si="9"/>
        <v>733.88</v>
      </c>
      <c r="J151" s="362">
        <f t="shared" si="10"/>
        <v>733.88</v>
      </c>
      <c r="K151" s="237"/>
      <c r="L151" s="238"/>
    </row>
    <row r="152" spans="2:12" s="19" customFormat="1" ht="30">
      <c r="B152" s="447" t="s">
        <v>851</v>
      </c>
      <c r="C152" s="234" t="s">
        <v>310</v>
      </c>
      <c r="D152" s="227" t="s">
        <v>46</v>
      </c>
      <c r="E152" s="227" t="s">
        <v>588</v>
      </c>
      <c r="F152" s="220" t="s">
        <v>1</v>
      </c>
      <c r="G152" s="450">
        <v>8</v>
      </c>
      <c r="H152" s="236">
        <v>23.92</v>
      </c>
      <c r="I152" s="362">
        <f t="shared" si="9"/>
        <v>29.88</v>
      </c>
      <c r="J152" s="362">
        <f t="shared" si="10"/>
        <v>239.04</v>
      </c>
      <c r="K152" s="237"/>
      <c r="L152" s="238"/>
    </row>
    <row r="153" spans="2:12" s="19" customFormat="1" ht="15.75">
      <c r="B153" s="225" t="s">
        <v>852</v>
      </c>
      <c r="C153" s="234" t="s">
        <v>309</v>
      </c>
      <c r="D153" s="227" t="s">
        <v>228</v>
      </c>
      <c r="E153" s="227">
        <v>440318</v>
      </c>
      <c r="F153" s="220" t="s">
        <v>1</v>
      </c>
      <c r="G153" s="235" t="s">
        <v>282</v>
      </c>
      <c r="H153" s="236">
        <v>33.44</v>
      </c>
      <c r="I153" s="362">
        <f t="shared" si="9"/>
        <v>41.78</v>
      </c>
      <c r="J153" s="362">
        <f t="shared" si="10"/>
        <v>584.92</v>
      </c>
      <c r="K153" s="237"/>
      <c r="L153" s="238"/>
    </row>
    <row r="154" spans="2:12" s="19" customFormat="1" ht="15.75">
      <c r="B154" s="225" t="s">
        <v>853</v>
      </c>
      <c r="C154" s="234" t="s">
        <v>308</v>
      </c>
      <c r="D154" s="227" t="s">
        <v>228</v>
      </c>
      <c r="E154" s="227">
        <v>440313</v>
      </c>
      <c r="F154" s="220" t="s">
        <v>1</v>
      </c>
      <c r="G154" s="235" t="s">
        <v>282</v>
      </c>
      <c r="H154" s="236">
        <v>24.57</v>
      </c>
      <c r="I154" s="362">
        <f t="shared" si="9"/>
        <v>30.7</v>
      </c>
      <c r="J154" s="362">
        <f t="shared" si="10"/>
        <v>429.8</v>
      </c>
      <c r="K154" s="237"/>
      <c r="L154" s="238"/>
    </row>
    <row r="155" spans="2:12" s="19" customFormat="1" ht="15.75">
      <c r="B155" s="225" t="s">
        <v>854</v>
      </c>
      <c r="C155" s="234" t="s">
        <v>307</v>
      </c>
      <c r="D155" s="227" t="s">
        <v>228</v>
      </c>
      <c r="E155" s="227">
        <v>440305</v>
      </c>
      <c r="F155" s="220" t="s">
        <v>1</v>
      </c>
      <c r="G155" s="235" t="s">
        <v>240</v>
      </c>
      <c r="H155" s="236">
        <v>37.06</v>
      </c>
      <c r="I155" s="362">
        <f t="shared" si="9"/>
        <v>46.3</v>
      </c>
      <c r="J155" s="362">
        <f t="shared" si="10"/>
        <v>370.4</v>
      </c>
      <c r="K155" s="237"/>
      <c r="L155" s="238"/>
    </row>
    <row r="156" spans="2:12" s="19" customFormat="1" ht="15.75">
      <c r="B156" s="584" t="s">
        <v>855</v>
      </c>
      <c r="C156" s="586" t="s">
        <v>699</v>
      </c>
      <c r="D156" s="587"/>
      <c r="E156" s="588"/>
      <c r="F156" s="589"/>
      <c r="G156" s="590"/>
      <c r="H156" s="591"/>
      <c r="I156" s="576"/>
      <c r="J156" s="576"/>
      <c r="K156" s="592"/>
      <c r="L156" s="580"/>
    </row>
    <row r="157" spans="2:12" s="19" customFormat="1" ht="15.75">
      <c r="B157" s="447" t="s">
        <v>856</v>
      </c>
      <c r="C157" s="369" t="s">
        <v>317</v>
      </c>
      <c r="D157" s="370" t="s">
        <v>228</v>
      </c>
      <c r="E157" s="370"/>
      <c r="F157" s="371" t="s">
        <v>1</v>
      </c>
      <c r="G157" s="372" t="s">
        <v>241</v>
      </c>
      <c r="H157" s="373">
        <f>'Composições de Custo'!I238</f>
        <v>1170.43</v>
      </c>
      <c r="I157" s="362">
        <f aca="true" t="shared" si="11" ref="I157:I162">ROUND(H157*($I$15/100+1),2)</f>
        <v>1462.22</v>
      </c>
      <c r="J157" s="362">
        <f aca="true" t="shared" si="12" ref="J157:J162">ROUND(G157*I157,2)</f>
        <v>1462.22</v>
      </c>
      <c r="K157" s="465"/>
      <c r="L157" s="238"/>
    </row>
    <row r="158" spans="2:12" s="19" customFormat="1" ht="30">
      <c r="B158" s="447" t="s">
        <v>857</v>
      </c>
      <c r="C158" s="359" t="s">
        <v>485</v>
      </c>
      <c r="D158" s="360" t="s">
        <v>46</v>
      </c>
      <c r="E158" s="358" t="s">
        <v>484</v>
      </c>
      <c r="F158" s="216" t="s">
        <v>0</v>
      </c>
      <c r="G158" s="235">
        <f>'Memorial de Cálculo'!L219</f>
        <v>3.9839999999999995</v>
      </c>
      <c r="H158" s="236">
        <v>35.34</v>
      </c>
      <c r="I158" s="362">
        <f t="shared" si="11"/>
        <v>44.15</v>
      </c>
      <c r="J158" s="362">
        <f t="shared" si="12"/>
        <v>175.89</v>
      </c>
      <c r="K158" s="237"/>
      <c r="L158" s="238"/>
    </row>
    <row r="159" spans="2:12" s="19" customFormat="1" ht="30">
      <c r="B159" s="447" t="s">
        <v>858</v>
      </c>
      <c r="C159" s="359" t="s">
        <v>410</v>
      </c>
      <c r="D159" s="243" t="s">
        <v>42</v>
      </c>
      <c r="E159" s="216">
        <v>87878</v>
      </c>
      <c r="F159" s="277" t="s">
        <v>0</v>
      </c>
      <c r="G159" s="235">
        <f>'Memorial de Cálculo'!L222</f>
        <v>3.9839999999999995</v>
      </c>
      <c r="H159" s="236">
        <v>2.75</v>
      </c>
      <c r="I159" s="362">
        <f t="shared" si="11"/>
        <v>3.44</v>
      </c>
      <c r="J159" s="362">
        <f t="shared" si="12"/>
        <v>13.7</v>
      </c>
      <c r="K159" s="237"/>
      <c r="L159" s="238"/>
    </row>
    <row r="160" spans="2:12" s="19" customFormat="1" ht="30">
      <c r="B160" s="447" t="s">
        <v>859</v>
      </c>
      <c r="C160" s="397" t="s">
        <v>1156</v>
      </c>
      <c r="D160" s="398" t="s">
        <v>42</v>
      </c>
      <c r="E160" s="216">
        <v>87535</v>
      </c>
      <c r="F160" s="277" t="s">
        <v>0</v>
      </c>
      <c r="G160" s="235">
        <f>'Memorial de Cálculo'!L225</f>
        <v>4.974</v>
      </c>
      <c r="H160" s="236">
        <v>16.25</v>
      </c>
      <c r="I160" s="362">
        <f t="shared" si="11"/>
        <v>20.3</v>
      </c>
      <c r="J160" s="362">
        <f t="shared" si="12"/>
        <v>100.97</v>
      </c>
      <c r="K160" s="237"/>
      <c r="L160" s="238"/>
    </row>
    <row r="161" spans="2:12" s="19" customFormat="1" ht="30">
      <c r="B161" s="447" t="s">
        <v>860</v>
      </c>
      <c r="C161" s="359" t="s">
        <v>584</v>
      </c>
      <c r="D161" s="243" t="s">
        <v>130</v>
      </c>
      <c r="E161" s="216"/>
      <c r="F161" s="277" t="s">
        <v>0</v>
      </c>
      <c r="G161" s="235">
        <f>'Memorial de Cálculo'!L228</f>
        <v>4.974</v>
      </c>
      <c r="H161" s="236">
        <f>'Composições de Custo'!I291</f>
        <v>56.06</v>
      </c>
      <c r="I161" s="362">
        <f t="shared" si="11"/>
        <v>70.04</v>
      </c>
      <c r="J161" s="362">
        <f t="shared" si="12"/>
        <v>348.38</v>
      </c>
      <c r="K161" s="237"/>
      <c r="L161" s="238"/>
    </row>
    <row r="162" spans="2:12" s="19" customFormat="1" ht="15.75">
      <c r="B162" s="447" t="s">
        <v>863</v>
      </c>
      <c r="C162" s="234" t="s">
        <v>1157</v>
      </c>
      <c r="D162" s="398" t="s">
        <v>42</v>
      </c>
      <c r="E162" s="227" t="s">
        <v>1049</v>
      </c>
      <c r="F162" s="277" t="s">
        <v>18</v>
      </c>
      <c r="G162" s="235">
        <f>'Memorial de Cálculo'!L231</f>
        <v>0.6</v>
      </c>
      <c r="H162" s="236">
        <v>74.17</v>
      </c>
      <c r="I162" s="362">
        <f t="shared" si="11"/>
        <v>92.66</v>
      </c>
      <c r="J162" s="362">
        <f t="shared" si="12"/>
        <v>55.6</v>
      </c>
      <c r="K162" s="237"/>
      <c r="L162" s="238"/>
    </row>
    <row r="163" spans="2:12" s="19" customFormat="1" ht="15.75">
      <c r="B163" s="584" t="s">
        <v>635</v>
      </c>
      <c r="C163" s="586" t="s">
        <v>303</v>
      </c>
      <c r="D163" s="587"/>
      <c r="E163" s="588"/>
      <c r="F163" s="589"/>
      <c r="G163" s="590"/>
      <c r="H163" s="591"/>
      <c r="I163" s="576"/>
      <c r="J163" s="576"/>
      <c r="K163" s="592"/>
      <c r="L163" s="580"/>
    </row>
    <row r="164" spans="2:12" s="19" customFormat="1" ht="15.75">
      <c r="B164" s="225" t="s">
        <v>864</v>
      </c>
      <c r="C164" s="226" t="s">
        <v>304</v>
      </c>
      <c r="D164" s="212" t="s">
        <v>42</v>
      </c>
      <c r="E164" s="212">
        <v>72554</v>
      </c>
      <c r="F164" s="213" t="s">
        <v>1</v>
      </c>
      <c r="G164" s="205" t="s">
        <v>341</v>
      </c>
      <c r="H164" s="229">
        <v>476.05</v>
      </c>
      <c r="I164" s="202">
        <f t="shared" si="9"/>
        <v>594.73</v>
      </c>
      <c r="J164" s="202">
        <f t="shared" si="10"/>
        <v>2973.65</v>
      </c>
      <c r="K164" s="211"/>
      <c r="L164" s="207"/>
    </row>
    <row r="165" spans="2:12" s="19" customFormat="1" ht="15.75">
      <c r="B165" s="225" t="s">
        <v>865</v>
      </c>
      <c r="C165" s="226" t="s">
        <v>305</v>
      </c>
      <c r="D165" s="212" t="s">
        <v>42</v>
      </c>
      <c r="E165" s="212" t="s">
        <v>87</v>
      </c>
      <c r="F165" s="213" t="s">
        <v>1</v>
      </c>
      <c r="G165" s="205" t="s">
        <v>341</v>
      </c>
      <c r="H165" s="292">
        <v>143.74</v>
      </c>
      <c r="I165" s="202">
        <f>ROUND(H165*($I$15/100+1),2)</f>
        <v>179.57</v>
      </c>
      <c r="J165" s="202">
        <f>ROUND(G165*I165,2)</f>
        <v>897.85</v>
      </c>
      <c r="K165" s="211"/>
      <c r="L165" s="207"/>
    </row>
    <row r="166" spans="2:12" s="19" customFormat="1" ht="30.75" thickBot="1">
      <c r="B166" s="744" t="s">
        <v>866</v>
      </c>
      <c r="C166" s="745" t="s">
        <v>306</v>
      </c>
      <c r="D166" s="746" t="s">
        <v>42</v>
      </c>
      <c r="E166" s="746" t="s">
        <v>64</v>
      </c>
      <c r="F166" s="747" t="s">
        <v>1</v>
      </c>
      <c r="G166" s="740" t="s">
        <v>343</v>
      </c>
      <c r="H166" s="748">
        <v>148.25</v>
      </c>
      <c r="I166" s="566">
        <f>ROUND(H166*($I$15/100+1),2)</f>
        <v>185.21</v>
      </c>
      <c r="J166" s="566">
        <f>ROUND(G166*I166,2)</f>
        <v>740.84</v>
      </c>
      <c r="K166" s="741"/>
      <c r="L166" s="567"/>
    </row>
    <row r="167" spans="2:17" ht="18" customHeight="1" thickBot="1">
      <c r="B167" s="568" t="s">
        <v>651</v>
      </c>
      <c r="C167" s="554" t="s">
        <v>38</v>
      </c>
      <c r="D167" s="555"/>
      <c r="E167" s="569"/>
      <c r="F167" s="556"/>
      <c r="G167" s="557"/>
      <c r="H167" s="557"/>
      <c r="I167" s="557"/>
      <c r="J167" s="558"/>
      <c r="K167" s="570">
        <f>SUM(J168:J222)</f>
        <v>69103.68999999999</v>
      </c>
      <c r="L167" s="560">
        <f>K167/$K$341</f>
        <v>0.07832342640232391</v>
      </c>
      <c r="M167" s="19"/>
      <c r="N167" s="19"/>
      <c r="O167" s="19"/>
      <c r="P167" s="19"/>
      <c r="Q167" s="19"/>
    </row>
    <row r="168" spans="2:12" s="19" customFormat="1" ht="15.75">
      <c r="B168" s="225" t="s">
        <v>137</v>
      </c>
      <c r="C168" s="217" t="s">
        <v>344</v>
      </c>
      <c r="D168" s="203" t="s">
        <v>42</v>
      </c>
      <c r="E168" s="212">
        <v>83438</v>
      </c>
      <c r="F168" s="213" t="s">
        <v>1</v>
      </c>
      <c r="G168" s="214" t="s">
        <v>370</v>
      </c>
      <c r="H168" s="215">
        <v>5.72</v>
      </c>
      <c r="I168" s="202">
        <f aca="true" t="shared" si="13" ref="I168:I222">ROUND(H168*($I$15/100+1),2)</f>
        <v>7.15</v>
      </c>
      <c r="J168" s="202">
        <f>ROUND(G168*I168,2)</f>
        <v>429</v>
      </c>
      <c r="K168" s="211"/>
      <c r="L168" s="207"/>
    </row>
    <row r="169" spans="2:12" s="19" customFormat="1" ht="15.75">
      <c r="B169" s="225" t="s">
        <v>138</v>
      </c>
      <c r="C169" s="217" t="s">
        <v>345</v>
      </c>
      <c r="D169" s="216" t="s">
        <v>42</v>
      </c>
      <c r="E169" s="228">
        <v>83449</v>
      </c>
      <c r="F169" s="213" t="s">
        <v>1</v>
      </c>
      <c r="G169" s="354" t="s">
        <v>289</v>
      </c>
      <c r="H169" s="352">
        <v>249.92</v>
      </c>
      <c r="I169" s="202">
        <f t="shared" si="13"/>
        <v>312.23</v>
      </c>
      <c r="J169" s="202">
        <f aca="true" t="shared" si="14" ref="J169:J205">ROUND(G169*I169,2)</f>
        <v>1873.38</v>
      </c>
      <c r="K169" s="211"/>
      <c r="L169" s="207"/>
    </row>
    <row r="170" spans="2:17" s="21" customFormat="1" ht="30">
      <c r="B170" s="225" t="s">
        <v>867</v>
      </c>
      <c r="C170" s="218" t="s">
        <v>346</v>
      </c>
      <c r="D170" s="216" t="s">
        <v>46</v>
      </c>
      <c r="E170" s="227" t="s">
        <v>487</v>
      </c>
      <c r="F170" s="220" t="s">
        <v>1</v>
      </c>
      <c r="G170" s="221" t="s">
        <v>292</v>
      </c>
      <c r="H170" s="366">
        <v>106.63</v>
      </c>
      <c r="I170" s="362">
        <f t="shared" si="13"/>
        <v>133.21</v>
      </c>
      <c r="J170" s="362">
        <f t="shared" si="14"/>
        <v>1598.52</v>
      </c>
      <c r="K170" s="365"/>
      <c r="L170" s="365"/>
      <c r="M170" s="19"/>
      <c r="N170" s="19"/>
      <c r="O170" s="19"/>
      <c r="P170" s="19"/>
      <c r="Q170" s="19"/>
    </row>
    <row r="171" spans="2:17" s="21" customFormat="1" ht="15.75">
      <c r="B171" s="225" t="s">
        <v>868</v>
      </c>
      <c r="C171" s="218" t="s">
        <v>347</v>
      </c>
      <c r="D171" s="216" t="s">
        <v>46</v>
      </c>
      <c r="E171" s="227" t="s">
        <v>486</v>
      </c>
      <c r="F171" s="220" t="s">
        <v>1</v>
      </c>
      <c r="G171" s="221" t="s">
        <v>241</v>
      </c>
      <c r="H171" s="364">
        <v>158.18</v>
      </c>
      <c r="I171" s="362">
        <f t="shared" si="13"/>
        <v>197.61</v>
      </c>
      <c r="J171" s="362">
        <f t="shared" si="14"/>
        <v>197.61</v>
      </c>
      <c r="K171" s="365"/>
      <c r="L171" s="365"/>
      <c r="M171" s="19"/>
      <c r="N171" s="19"/>
      <c r="O171" s="19"/>
      <c r="P171" s="19"/>
      <c r="Q171" s="19"/>
    </row>
    <row r="172" spans="2:17" s="21" customFormat="1" ht="18" customHeight="1">
      <c r="B172" s="225" t="s">
        <v>869</v>
      </c>
      <c r="C172" s="218" t="s">
        <v>348</v>
      </c>
      <c r="D172" s="216" t="s">
        <v>46</v>
      </c>
      <c r="E172" s="219" t="s">
        <v>488</v>
      </c>
      <c r="F172" s="220" t="s">
        <v>1</v>
      </c>
      <c r="G172" s="221" t="s">
        <v>288</v>
      </c>
      <c r="H172" s="364">
        <v>5.65</v>
      </c>
      <c r="I172" s="362">
        <f t="shared" si="13"/>
        <v>7.06</v>
      </c>
      <c r="J172" s="362">
        <f t="shared" si="14"/>
        <v>1059</v>
      </c>
      <c r="K172" s="365"/>
      <c r="L172" s="365"/>
      <c r="M172" s="19"/>
      <c r="N172" s="19"/>
      <c r="O172" s="19"/>
      <c r="P172" s="19"/>
      <c r="Q172" s="19"/>
    </row>
    <row r="173" spans="2:17" s="12" customFormat="1" ht="18" customHeight="1">
      <c r="B173" s="225" t="s">
        <v>870</v>
      </c>
      <c r="C173" s="218" t="s">
        <v>349</v>
      </c>
      <c r="D173" s="216" t="s">
        <v>46</v>
      </c>
      <c r="E173" s="227" t="s">
        <v>488</v>
      </c>
      <c r="F173" s="220" t="s">
        <v>1</v>
      </c>
      <c r="G173" s="221" t="s">
        <v>343</v>
      </c>
      <c r="H173" s="364">
        <v>5.65</v>
      </c>
      <c r="I173" s="362">
        <f t="shared" si="13"/>
        <v>7.06</v>
      </c>
      <c r="J173" s="362">
        <f t="shared" si="14"/>
        <v>28.24</v>
      </c>
      <c r="K173" s="223"/>
      <c r="L173" s="224"/>
      <c r="M173" s="19"/>
      <c r="N173" s="19"/>
      <c r="O173" s="19"/>
      <c r="P173" s="19"/>
      <c r="Q173" s="19"/>
    </row>
    <row r="174" spans="2:17" s="12" customFormat="1" ht="30" customHeight="1">
      <c r="B174" s="225" t="s">
        <v>871</v>
      </c>
      <c r="C174" s="218" t="s">
        <v>353</v>
      </c>
      <c r="D174" s="216" t="s">
        <v>42</v>
      </c>
      <c r="E174" s="219">
        <v>83422</v>
      </c>
      <c r="F174" s="220" t="s">
        <v>34</v>
      </c>
      <c r="G174" s="221" t="s">
        <v>371</v>
      </c>
      <c r="H174" s="364">
        <v>13.36</v>
      </c>
      <c r="I174" s="362">
        <f t="shared" si="13"/>
        <v>16.69</v>
      </c>
      <c r="J174" s="362">
        <f t="shared" si="14"/>
        <v>3338</v>
      </c>
      <c r="K174" s="365"/>
      <c r="L174" s="365"/>
      <c r="M174" s="19"/>
      <c r="N174" s="19"/>
      <c r="O174" s="19"/>
      <c r="P174" s="19"/>
      <c r="Q174" s="19"/>
    </row>
    <row r="175" spans="2:17" s="12" customFormat="1" ht="15">
      <c r="B175" s="225" t="s">
        <v>872</v>
      </c>
      <c r="C175" s="218" t="s">
        <v>350</v>
      </c>
      <c r="D175" s="216" t="s">
        <v>42</v>
      </c>
      <c r="E175" s="367" t="s">
        <v>489</v>
      </c>
      <c r="F175" s="220" t="s">
        <v>34</v>
      </c>
      <c r="G175" s="221" t="s">
        <v>372</v>
      </c>
      <c r="H175" s="364">
        <v>1.76</v>
      </c>
      <c r="I175" s="362">
        <f t="shared" si="13"/>
        <v>2.2</v>
      </c>
      <c r="J175" s="362">
        <f t="shared" si="14"/>
        <v>1540</v>
      </c>
      <c r="K175" s="365"/>
      <c r="L175" s="365"/>
      <c r="M175" s="19"/>
      <c r="N175" s="19"/>
      <c r="O175" s="19"/>
      <c r="P175" s="19"/>
      <c r="Q175" s="19"/>
    </row>
    <row r="176" spans="2:17" s="12" customFormat="1" ht="30" customHeight="1">
      <c r="B176" s="225" t="s">
        <v>873</v>
      </c>
      <c r="C176" s="218" t="s">
        <v>354</v>
      </c>
      <c r="D176" s="216" t="s">
        <v>42</v>
      </c>
      <c r="E176" s="367" t="s">
        <v>490</v>
      </c>
      <c r="F176" s="220" t="s">
        <v>34</v>
      </c>
      <c r="G176" s="221" t="s">
        <v>373</v>
      </c>
      <c r="H176" s="364">
        <v>2.32</v>
      </c>
      <c r="I176" s="362">
        <f t="shared" si="13"/>
        <v>2.9</v>
      </c>
      <c r="J176" s="362">
        <f t="shared" si="14"/>
        <v>5510</v>
      </c>
      <c r="K176" s="223"/>
      <c r="L176" s="224"/>
      <c r="M176" s="19"/>
      <c r="N176" s="19"/>
      <c r="O176" s="19"/>
      <c r="P176" s="19"/>
      <c r="Q176" s="19"/>
    </row>
    <row r="177" spans="2:17" s="12" customFormat="1" ht="27" customHeight="1">
      <c r="B177" s="225" t="s">
        <v>874</v>
      </c>
      <c r="C177" s="218" t="s">
        <v>355</v>
      </c>
      <c r="D177" s="216" t="s">
        <v>42</v>
      </c>
      <c r="E177" s="367" t="s">
        <v>491</v>
      </c>
      <c r="F177" s="220" t="s">
        <v>34</v>
      </c>
      <c r="G177" s="221" t="s">
        <v>374</v>
      </c>
      <c r="H177" s="366">
        <v>3.4</v>
      </c>
      <c r="I177" s="362">
        <f t="shared" si="13"/>
        <v>4.25</v>
      </c>
      <c r="J177" s="362">
        <f t="shared" si="14"/>
        <v>2550</v>
      </c>
      <c r="K177" s="223"/>
      <c r="L177" s="224"/>
      <c r="M177" s="19"/>
      <c r="N177" s="19"/>
      <c r="O177" s="19"/>
      <c r="P177" s="19"/>
      <c r="Q177" s="19"/>
    </row>
    <row r="178" spans="2:17" s="12" customFormat="1" ht="27.75" customHeight="1">
      <c r="B178" s="225" t="s">
        <v>875</v>
      </c>
      <c r="C178" s="218" t="s">
        <v>356</v>
      </c>
      <c r="D178" s="216" t="s">
        <v>42</v>
      </c>
      <c r="E178" s="367" t="s">
        <v>492</v>
      </c>
      <c r="F178" s="220" t="s">
        <v>34</v>
      </c>
      <c r="G178" s="221" t="s">
        <v>375</v>
      </c>
      <c r="H178" s="364">
        <v>4.61</v>
      </c>
      <c r="I178" s="362">
        <f t="shared" si="13"/>
        <v>5.76</v>
      </c>
      <c r="J178" s="362">
        <f t="shared" si="14"/>
        <v>2880</v>
      </c>
      <c r="K178" s="223"/>
      <c r="L178" s="224"/>
      <c r="M178" s="19"/>
      <c r="N178" s="19"/>
      <c r="O178" s="19"/>
      <c r="P178" s="19"/>
      <c r="Q178" s="19"/>
    </row>
    <row r="179" spans="2:17" s="12" customFormat="1" ht="30">
      <c r="B179" s="225" t="s">
        <v>876</v>
      </c>
      <c r="C179" s="218" t="s">
        <v>351</v>
      </c>
      <c r="D179" s="216" t="s">
        <v>42</v>
      </c>
      <c r="E179" s="227" t="s">
        <v>493</v>
      </c>
      <c r="F179" s="220" t="s">
        <v>34</v>
      </c>
      <c r="G179" s="221" t="s">
        <v>371</v>
      </c>
      <c r="H179" s="364">
        <v>30.76</v>
      </c>
      <c r="I179" s="362">
        <f t="shared" si="13"/>
        <v>38.43</v>
      </c>
      <c r="J179" s="362">
        <f t="shared" si="14"/>
        <v>7686</v>
      </c>
      <c r="K179" s="223"/>
      <c r="L179" s="224"/>
      <c r="M179" s="19"/>
      <c r="N179" s="19"/>
      <c r="O179" s="19"/>
      <c r="P179" s="19"/>
      <c r="Q179" s="19"/>
    </row>
    <row r="180" spans="2:17" s="12" customFormat="1" ht="15.75">
      <c r="B180" s="225" t="s">
        <v>877</v>
      </c>
      <c r="C180" s="218" t="s">
        <v>352</v>
      </c>
      <c r="D180" s="216" t="s">
        <v>46</v>
      </c>
      <c r="E180" s="227" t="s">
        <v>494</v>
      </c>
      <c r="F180" s="220" t="s">
        <v>1</v>
      </c>
      <c r="G180" s="221" t="s">
        <v>376</v>
      </c>
      <c r="H180" s="364">
        <v>15.34</v>
      </c>
      <c r="I180" s="362">
        <f t="shared" si="13"/>
        <v>19.16</v>
      </c>
      <c r="J180" s="362">
        <f t="shared" si="14"/>
        <v>479</v>
      </c>
      <c r="K180" s="223"/>
      <c r="L180" s="224"/>
      <c r="M180" s="19"/>
      <c r="N180" s="19"/>
      <c r="O180" s="19"/>
      <c r="P180" s="19"/>
      <c r="Q180" s="19"/>
    </row>
    <row r="181" spans="2:17" s="12" customFormat="1" ht="30">
      <c r="B181" s="225" t="s">
        <v>878</v>
      </c>
      <c r="C181" s="218" t="s">
        <v>357</v>
      </c>
      <c r="D181" s="216" t="s">
        <v>42</v>
      </c>
      <c r="E181" s="227" t="s">
        <v>495</v>
      </c>
      <c r="F181" s="220" t="s">
        <v>1</v>
      </c>
      <c r="G181" s="221" t="s">
        <v>287</v>
      </c>
      <c r="H181" s="364">
        <v>9.31</v>
      </c>
      <c r="I181" s="362">
        <f t="shared" si="13"/>
        <v>11.63</v>
      </c>
      <c r="J181" s="362">
        <f t="shared" si="14"/>
        <v>197.71</v>
      </c>
      <c r="K181" s="223"/>
      <c r="L181" s="224"/>
      <c r="M181" s="19"/>
      <c r="N181" s="19"/>
      <c r="O181" s="19"/>
      <c r="P181" s="19"/>
      <c r="Q181" s="19"/>
    </row>
    <row r="182" spans="2:17" s="12" customFormat="1" ht="30">
      <c r="B182" s="225" t="s">
        <v>879</v>
      </c>
      <c r="C182" s="218" t="s">
        <v>358</v>
      </c>
      <c r="D182" s="216" t="s">
        <v>42</v>
      </c>
      <c r="E182" s="227" t="s">
        <v>496</v>
      </c>
      <c r="F182" s="220" t="s">
        <v>1</v>
      </c>
      <c r="G182" s="221" t="s">
        <v>377</v>
      </c>
      <c r="H182" s="364">
        <v>43.38</v>
      </c>
      <c r="I182" s="362">
        <f t="shared" si="13"/>
        <v>54.19</v>
      </c>
      <c r="J182" s="362">
        <f t="shared" si="14"/>
        <v>1192.18</v>
      </c>
      <c r="K182" s="223"/>
      <c r="L182" s="224"/>
      <c r="M182" s="19"/>
      <c r="N182" s="19"/>
      <c r="O182" s="19"/>
      <c r="P182" s="19"/>
      <c r="Q182" s="19"/>
    </row>
    <row r="183" spans="2:17" s="12" customFormat="1" ht="30">
      <c r="B183" s="225" t="s">
        <v>880</v>
      </c>
      <c r="C183" s="218" t="s">
        <v>359</v>
      </c>
      <c r="D183" s="216" t="s">
        <v>497</v>
      </c>
      <c r="E183" s="227" t="s">
        <v>369</v>
      </c>
      <c r="F183" s="220" t="s">
        <v>1</v>
      </c>
      <c r="G183" s="221" t="s">
        <v>281</v>
      </c>
      <c r="H183" s="364">
        <v>82.22</v>
      </c>
      <c r="I183" s="362">
        <f t="shared" si="13"/>
        <v>102.72</v>
      </c>
      <c r="J183" s="362">
        <f t="shared" si="14"/>
        <v>205.44</v>
      </c>
      <c r="K183" s="223"/>
      <c r="L183" s="224"/>
      <c r="M183" s="19"/>
      <c r="N183" s="19"/>
      <c r="O183" s="19"/>
      <c r="P183" s="19"/>
      <c r="Q183" s="19"/>
    </row>
    <row r="184" spans="2:17" s="12" customFormat="1" ht="30">
      <c r="B184" s="225" t="s">
        <v>881</v>
      </c>
      <c r="C184" s="218" t="s">
        <v>360</v>
      </c>
      <c r="D184" s="216" t="s">
        <v>228</v>
      </c>
      <c r="E184" s="227">
        <v>371370</v>
      </c>
      <c r="F184" s="220" t="s">
        <v>1</v>
      </c>
      <c r="G184" s="221" t="s">
        <v>241</v>
      </c>
      <c r="H184" s="364">
        <v>415.97</v>
      </c>
      <c r="I184" s="362">
        <f t="shared" si="13"/>
        <v>519.67</v>
      </c>
      <c r="J184" s="362">
        <f t="shared" si="14"/>
        <v>519.67</v>
      </c>
      <c r="K184" s="223"/>
      <c r="L184" s="224"/>
      <c r="M184" s="19"/>
      <c r="N184" s="19"/>
      <c r="O184" s="19"/>
      <c r="P184" s="19"/>
      <c r="Q184" s="19"/>
    </row>
    <row r="185" spans="2:17" s="12" customFormat="1" ht="30">
      <c r="B185" s="225" t="s">
        <v>882</v>
      </c>
      <c r="C185" s="218" t="s">
        <v>361</v>
      </c>
      <c r="D185" s="216" t="s">
        <v>42</v>
      </c>
      <c r="E185" s="227" t="s">
        <v>498</v>
      </c>
      <c r="F185" s="220" t="s">
        <v>1</v>
      </c>
      <c r="G185" s="221" t="s">
        <v>241</v>
      </c>
      <c r="H185" s="364">
        <v>616.61</v>
      </c>
      <c r="I185" s="362">
        <f t="shared" si="13"/>
        <v>770.33</v>
      </c>
      <c r="J185" s="362">
        <f t="shared" si="14"/>
        <v>770.33</v>
      </c>
      <c r="K185" s="223"/>
      <c r="L185" s="224"/>
      <c r="M185" s="19"/>
      <c r="N185" s="19"/>
      <c r="O185" s="19"/>
      <c r="P185" s="19"/>
      <c r="Q185" s="19"/>
    </row>
    <row r="186" spans="2:17" s="12" customFormat="1" ht="30">
      <c r="B186" s="225" t="s">
        <v>883</v>
      </c>
      <c r="C186" s="218" t="s">
        <v>362</v>
      </c>
      <c r="D186" s="216" t="s">
        <v>42</v>
      </c>
      <c r="E186" s="227">
        <v>72936</v>
      </c>
      <c r="F186" s="220" t="s">
        <v>34</v>
      </c>
      <c r="G186" s="221" t="s">
        <v>378</v>
      </c>
      <c r="H186" s="364">
        <v>7.04</v>
      </c>
      <c r="I186" s="362">
        <f t="shared" si="13"/>
        <v>8.8</v>
      </c>
      <c r="J186" s="362">
        <f t="shared" si="14"/>
        <v>704</v>
      </c>
      <c r="K186" s="223"/>
      <c r="L186" s="224"/>
      <c r="M186" s="19"/>
      <c r="N186" s="19"/>
      <c r="O186" s="19"/>
      <c r="P186" s="19"/>
      <c r="Q186" s="19"/>
    </row>
    <row r="187" spans="2:17" s="12" customFormat="1" ht="15.75">
      <c r="B187" s="225" t="s">
        <v>884</v>
      </c>
      <c r="C187" s="218" t="s">
        <v>363</v>
      </c>
      <c r="D187" s="216" t="s">
        <v>42</v>
      </c>
      <c r="E187" s="227">
        <v>73613</v>
      </c>
      <c r="F187" s="220" t="s">
        <v>34</v>
      </c>
      <c r="G187" s="221" t="s">
        <v>379</v>
      </c>
      <c r="H187" s="364">
        <v>9.22</v>
      </c>
      <c r="I187" s="362">
        <f t="shared" si="13"/>
        <v>11.52</v>
      </c>
      <c r="J187" s="362">
        <f t="shared" si="14"/>
        <v>8640</v>
      </c>
      <c r="K187" s="223"/>
      <c r="L187" s="224"/>
      <c r="M187" s="19"/>
      <c r="N187" s="19"/>
      <c r="O187" s="19"/>
      <c r="P187" s="19"/>
      <c r="Q187" s="19"/>
    </row>
    <row r="188" spans="2:17" s="12" customFormat="1" ht="15.75">
      <c r="B188" s="225" t="s">
        <v>885</v>
      </c>
      <c r="C188" s="218" t="s">
        <v>364</v>
      </c>
      <c r="D188" s="216" t="s">
        <v>42</v>
      </c>
      <c r="E188" s="227">
        <v>55867</v>
      </c>
      <c r="F188" s="220" t="s">
        <v>34</v>
      </c>
      <c r="G188" s="221" t="s">
        <v>370</v>
      </c>
      <c r="H188" s="364">
        <v>33.94</v>
      </c>
      <c r="I188" s="362">
        <f t="shared" si="13"/>
        <v>42.4</v>
      </c>
      <c r="J188" s="362">
        <f t="shared" si="14"/>
        <v>2544</v>
      </c>
      <c r="K188" s="223"/>
      <c r="L188" s="224"/>
      <c r="M188" s="19"/>
      <c r="N188" s="19"/>
      <c r="O188" s="19"/>
      <c r="P188" s="19"/>
      <c r="Q188" s="19"/>
    </row>
    <row r="189" spans="2:17" s="12" customFormat="1" ht="15.75">
      <c r="B189" s="225" t="s">
        <v>886</v>
      </c>
      <c r="C189" s="218" t="s">
        <v>365</v>
      </c>
      <c r="D189" s="216" t="s">
        <v>42</v>
      </c>
      <c r="E189" s="227">
        <v>72335</v>
      </c>
      <c r="F189" s="220" t="s">
        <v>1</v>
      </c>
      <c r="G189" s="221" t="s">
        <v>380</v>
      </c>
      <c r="H189" s="364">
        <v>2.61</v>
      </c>
      <c r="I189" s="362">
        <f t="shared" si="13"/>
        <v>3.26</v>
      </c>
      <c r="J189" s="362">
        <f t="shared" si="14"/>
        <v>456.4</v>
      </c>
      <c r="K189" s="223"/>
      <c r="L189" s="224"/>
      <c r="M189" s="19"/>
      <c r="N189" s="19"/>
      <c r="O189" s="19"/>
      <c r="P189" s="19"/>
      <c r="Q189" s="19"/>
    </row>
    <row r="190" spans="2:17" s="12" customFormat="1" ht="15.75">
      <c r="B190" s="225" t="s">
        <v>887</v>
      </c>
      <c r="C190" s="218" t="s">
        <v>366</v>
      </c>
      <c r="D190" s="216" t="s">
        <v>42</v>
      </c>
      <c r="E190" s="227">
        <v>72336</v>
      </c>
      <c r="F190" s="220" t="s">
        <v>1</v>
      </c>
      <c r="G190" s="221" t="s">
        <v>343</v>
      </c>
      <c r="H190" s="364">
        <v>4.47</v>
      </c>
      <c r="I190" s="362">
        <f t="shared" si="13"/>
        <v>5.58</v>
      </c>
      <c r="J190" s="362">
        <f t="shared" si="14"/>
        <v>22.32</v>
      </c>
      <c r="K190" s="223"/>
      <c r="L190" s="224"/>
      <c r="M190" s="19"/>
      <c r="N190" s="19"/>
      <c r="O190" s="19"/>
      <c r="P190" s="19"/>
      <c r="Q190" s="19"/>
    </row>
    <row r="191" spans="2:17" s="12" customFormat="1" ht="15.75">
      <c r="B191" s="225" t="s">
        <v>888</v>
      </c>
      <c r="C191" s="218" t="s">
        <v>367</v>
      </c>
      <c r="D191" s="216" t="s">
        <v>50</v>
      </c>
      <c r="E191" s="219" t="s">
        <v>499</v>
      </c>
      <c r="F191" s="220" t="s">
        <v>1</v>
      </c>
      <c r="G191" s="221" t="s">
        <v>241</v>
      </c>
      <c r="H191" s="364">
        <v>33.8</v>
      </c>
      <c r="I191" s="362">
        <f t="shared" si="13"/>
        <v>42.23</v>
      </c>
      <c r="J191" s="362">
        <f t="shared" si="14"/>
        <v>42.23</v>
      </c>
      <c r="K191" s="223"/>
      <c r="L191" s="224"/>
      <c r="M191" s="19"/>
      <c r="N191" s="19"/>
      <c r="O191" s="19"/>
      <c r="P191" s="19"/>
      <c r="Q191" s="19"/>
    </row>
    <row r="192" spans="2:17" s="12" customFormat="1" ht="15.75">
      <c r="B192" s="225" t="s">
        <v>889</v>
      </c>
      <c r="C192" s="218" t="s">
        <v>368</v>
      </c>
      <c r="D192" s="216" t="s">
        <v>50</v>
      </c>
      <c r="E192" s="219" t="s">
        <v>502</v>
      </c>
      <c r="F192" s="220" t="s">
        <v>1</v>
      </c>
      <c r="G192" s="221" t="s">
        <v>341</v>
      </c>
      <c r="H192" s="364">
        <v>108.06</v>
      </c>
      <c r="I192" s="362">
        <f t="shared" si="13"/>
        <v>135</v>
      </c>
      <c r="J192" s="362">
        <f t="shared" si="14"/>
        <v>675</v>
      </c>
      <c r="K192" s="223"/>
      <c r="L192" s="224"/>
      <c r="M192" s="19"/>
      <c r="N192" s="19"/>
      <c r="O192" s="19"/>
      <c r="P192" s="19"/>
      <c r="Q192" s="19"/>
    </row>
    <row r="193" spans="2:17" s="12" customFormat="1" ht="15.75">
      <c r="B193" s="225" t="s">
        <v>890</v>
      </c>
      <c r="C193" s="218" t="s">
        <v>500</v>
      </c>
      <c r="D193" s="216" t="s">
        <v>50</v>
      </c>
      <c r="E193" s="219" t="s">
        <v>503</v>
      </c>
      <c r="F193" s="220" t="s">
        <v>1</v>
      </c>
      <c r="G193" s="221" t="s">
        <v>381</v>
      </c>
      <c r="H193" s="364">
        <v>126.66</v>
      </c>
      <c r="I193" s="362">
        <f t="shared" si="13"/>
        <v>158.24</v>
      </c>
      <c r="J193" s="362">
        <f t="shared" si="14"/>
        <v>2057.12</v>
      </c>
      <c r="K193" s="223"/>
      <c r="L193" s="224"/>
      <c r="M193" s="19"/>
      <c r="N193" s="19"/>
      <c r="O193" s="19"/>
      <c r="P193" s="19"/>
      <c r="Q193" s="19"/>
    </row>
    <row r="194" spans="2:17" s="12" customFormat="1" ht="15.75">
      <c r="B194" s="225" t="s">
        <v>891</v>
      </c>
      <c r="C194" s="218" t="s">
        <v>501</v>
      </c>
      <c r="D194" s="216" t="s">
        <v>50</v>
      </c>
      <c r="E194" s="219" t="s">
        <v>504</v>
      </c>
      <c r="F194" s="220" t="s">
        <v>1</v>
      </c>
      <c r="G194" s="221" t="s">
        <v>241</v>
      </c>
      <c r="H194" s="364">
        <v>245.36</v>
      </c>
      <c r="I194" s="362">
        <f t="shared" si="13"/>
        <v>306.53</v>
      </c>
      <c r="J194" s="362">
        <f t="shared" si="14"/>
        <v>306.53</v>
      </c>
      <c r="K194" s="223"/>
      <c r="L194" s="224"/>
      <c r="M194" s="19"/>
      <c r="N194" s="19"/>
      <c r="O194" s="19"/>
      <c r="P194" s="19"/>
      <c r="Q194" s="19"/>
    </row>
    <row r="195" spans="2:17" s="12" customFormat="1" ht="15.75">
      <c r="B195" s="225" t="s">
        <v>892</v>
      </c>
      <c r="C195" s="218" t="s">
        <v>382</v>
      </c>
      <c r="D195" s="216" t="s">
        <v>228</v>
      </c>
      <c r="E195" s="227">
        <v>371711</v>
      </c>
      <c r="F195" s="220" t="s">
        <v>1</v>
      </c>
      <c r="G195" s="221" t="s">
        <v>241</v>
      </c>
      <c r="H195" s="364">
        <v>266.76</v>
      </c>
      <c r="I195" s="362">
        <f t="shared" si="13"/>
        <v>333.26</v>
      </c>
      <c r="J195" s="362">
        <f t="shared" si="14"/>
        <v>333.26</v>
      </c>
      <c r="K195" s="223"/>
      <c r="L195" s="224"/>
      <c r="M195" s="19"/>
      <c r="N195" s="19"/>
      <c r="O195" s="19"/>
      <c r="P195" s="19"/>
      <c r="Q195" s="19"/>
    </row>
    <row r="196" spans="2:17" s="12" customFormat="1" ht="15.75">
      <c r="B196" s="225" t="s">
        <v>893</v>
      </c>
      <c r="C196" s="218" t="s">
        <v>383</v>
      </c>
      <c r="D196" s="216" t="s">
        <v>50</v>
      </c>
      <c r="E196" s="219" t="s">
        <v>506</v>
      </c>
      <c r="F196" s="220" t="s">
        <v>409</v>
      </c>
      <c r="G196" s="221" t="s">
        <v>377</v>
      </c>
      <c r="H196" s="364">
        <v>14.76</v>
      </c>
      <c r="I196" s="362">
        <f t="shared" si="13"/>
        <v>18.44</v>
      </c>
      <c r="J196" s="362">
        <f t="shared" si="14"/>
        <v>405.68</v>
      </c>
      <c r="K196" s="223"/>
      <c r="L196" s="224"/>
      <c r="M196" s="19"/>
      <c r="N196" s="19"/>
      <c r="O196" s="19"/>
      <c r="P196" s="19"/>
      <c r="Q196" s="19"/>
    </row>
    <row r="197" spans="2:17" s="12" customFormat="1" ht="15.75">
      <c r="B197" s="225" t="s">
        <v>894</v>
      </c>
      <c r="C197" s="218" t="s">
        <v>384</v>
      </c>
      <c r="D197" s="216" t="s">
        <v>50</v>
      </c>
      <c r="E197" s="219" t="s">
        <v>505</v>
      </c>
      <c r="F197" s="220" t="s">
        <v>409</v>
      </c>
      <c r="G197" s="221" t="s">
        <v>259</v>
      </c>
      <c r="H197" s="364">
        <v>13.11</v>
      </c>
      <c r="I197" s="362">
        <f t="shared" si="13"/>
        <v>16.38</v>
      </c>
      <c r="J197" s="362">
        <f t="shared" si="14"/>
        <v>507.78</v>
      </c>
      <c r="K197" s="223"/>
      <c r="L197" s="224"/>
      <c r="M197" s="19"/>
      <c r="N197" s="19"/>
      <c r="O197" s="19"/>
      <c r="P197" s="19"/>
      <c r="Q197" s="19"/>
    </row>
    <row r="198" spans="2:17" s="12" customFormat="1" ht="30">
      <c r="B198" s="225" t="s">
        <v>895</v>
      </c>
      <c r="C198" s="218" t="s">
        <v>508</v>
      </c>
      <c r="D198" s="216" t="s">
        <v>50</v>
      </c>
      <c r="E198" s="219" t="s">
        <v>507</v>
      </c>
      <c r="F198" s="220" t="s">
        <v>1</v>
      </c>
      <c r="G198" s="221" t="s">
        <v>404</v>
      </c>
      <c r="H198" s="222">
        <v>145.64</v>
      </c>
      <c r="I198" s="362">
        <f t="shared" si="13"/>
        <v>181.95</v>
      </c>
      <c r="J198" s="362">
        <f t="shared" si="14"/>
        <v>6732.15</v>
      </c>
      <c r="K198" s="223"/>
      <c r="L198" s="224"/>
      <c r="M198" s="19"/>
      <c r="N198" s="19"/>
      <c r="O198" s="19"/>
      <c r="P198" s="19"/>
      <c r="Q198" s="19"/>
    </row>
    <row r="199" spans="2:17" s="12" customFormat="1" ht="45">
      <c r="B199" s="225" t="s">
        <v>896</v>
      </c>
      <c r="C199" s="218" t="s">
        <v>385</v>
      </c>
      <c r="D199" s="216" t="s">
        <v>228</v>
      </c>
      <c r="E199" s="219" t="s">
        <v>400</v>
      </c>
      <c r="F199" s="220" t="s">
        <v>1</v>
      </c>
      <c r="G199" s="221" t="s">
        <v>405</v>
      </c>
      <c r="H199" s="222">
        <v>78.76</v>
      </c>
      <c r="I199" s="362">
        <f t="shared" si="13"/>
        <v>98.39</v>
      </c>
      <c r="J199" s="362">
        <f t="shared" si="14"/>
        <v>983.9</v>
      </c>
      <c r="K199" s="223"/>
      <c r="L199" s="224"/>
      <c r="M199" s="19"/>
      <c r="N199" s="19"/>
      <c r="O199" s="19"/>
      <c r="P199" s="19"/>
      <c r="Q199" s="19"/>
    </row>
    <row r="200" spans="2:17" s="12" customFormat="1" ht="45">
      <c r="B200" s="225" t="s">
        <v>897</v>
      </c>
      <c r="C200" s="218" t="s">
        <v>391</v>
      </c>
      <c r="D200" s="216" t="s">
        <v>42</v>
      </c>
      <c r="E200" s="219" t="s">
        <v>401</v>
      </c>
      <c r="F200" s="220" t="s">
        <v>1</v>
      </c>
      <c r="G200" s="221" t="s">
        <v>241</v>
      </c>
      <c r="H200" s="355">
        <v>550.46</v>
      </c>
      <c r="I200" s="202">
        <f t="shared" si="13"/>
        <v>687.69</v>
      </c>
      <c r="J200" s="202">
        <f t="shared" si="14"/>
        <v>687.69</v>
      </c>
      <c r="K200" s="223"/>
      <c r="L200" s="224"/>
      <c r="M200" s="19"/>
      <c r="N200" s="19"/>
      <c r="O200" s="19"/>
      <c r="P200" s="19"/>
      <c r="Q200" s="19"/>
    </row>
    <row r="201" spans="2:17" s="12" customFormat="1" ht="15.75">
      <c r="B201" s="225" t="s">
        <v>898</v>
      </c>
      <c r="C201" s="218" t="s">
        <v>386</v>
      </c>
      <c r="D201" s="216" t="s">
        <v>42</v>
      </c>
      <c r="E201" s="219" t="s">
        <v>509</v>
      </c>
      <c r="F201" s="220" t="s">
        <v>1</v>
      </c>
      <c r="G201" s="221" t="s">
        <v>292</v>
      </c>
      <c r="H201" s="222">
        <v>14.96</v>
      </c>
      <c r="I201" s="362">
        <f t="shared" si="13"/>
        <v>18.69</v>
      </c>
      <c r="J201" s="362">
        <f t="shared" si="14"/>
        <v>224.28</v>
      </c>
      <c r="K201" s="223"/>
      <c r="L201" s="224"/>
      <c r="M201" s="19"/>
      <c r="N201" s="19"/>
      <c r="O201" s="19"/>
      <c r="P201" s="19"/>
      <c r="Q201" s="19"/>
    </row>
    <row r="202" spans="2:17" s="12" customFormat="1" ht="15.75">
      <c r="B202" s="225" t="s">
        <v>899</v>
      </c>
      <c r="C202" s="218" t="s">
        <v>387</v>
      </c>
      <c r="D202" s="216" t="s">
        <v>42</v>
      </c>
      <c r="E202" s="219" t="s">
        <v>510</v>
      </c>
      <c r="F202" s="220" t="s">
        <v>1</v>
      </c>
      <c r="G202" s="221" t="s">
        <v>292</v>
      </c>
      <c r="H202" s="222">
        <v>23.88</v>
      </c>
      <c r="I202" s="362">
        <f t="shared" si="13"/>
        <v>29.83</v>
      </c>
      <c r="J202" s="362">
        <f t="shared" si="14"/>
        <v>357.96</v>
      </c>
      <c r="K202" s="223"/>
      <c r="L202" s="224"/>
      <c r="M202" s="19"/>
      <c r="N202" s="19"/>
      <c r="O202" s="19"/>
      <c r="P202" s="19"/>
      <c r="Q202" s="19"/>
    </row>
    <row r="203" spans="2:17" s="12" customFormat="1" ht="15.75">
      <c r="B203" s="225" t="s">
        <v>900</v>
      </c>
      <c r="C203" s="218" t="s">
        <v>388</v>
      </c>
      <c r="D203" s="216" t="s">
        <v>42</v>
      </c>
      <c r="E203" s="219">
        <v>83540</v>
      </c>
      <c r="F203" s="220" t="s">
        <v>409</v>
      </c>
      <c r="G203" s="221" t="s">
        <v>406</v>
      </c>
      <c r="H203" s="222">
        <v>9.89</v>
      </c>
      <c r="I203" s="362">
        <f t="shared" si="13"/>
        <v>12.36</v>
      </c>
      <c r="J203" s="362">
        <f t="shared" si="14"/>
        <v>1161.84</v>
      </c>
      <c r="K203" s="223"/>
      <c r="L203" s="224"/>
      <c r="M203" s="19"/>
      <c r="N203" s="19"/>
      <c r="O203" s="19"/>
      <c r="P203" s="19"/>
      <c r="Q203" s="19"/>
    </row>
    <row r="204" spans="2:17" s="12" customFormat="1" ht="15.75">
      <c r="B204" s="225" t="s">
        <v>901</v>
      </c>
      <c r="C204" s="218" t="s">
        <v>389</v>
      </c>
      <c r="D204" s="216" t="s">
        <v>228</v>
      </c>
      <c r="E204" s="219">
        <v>400409</v>
      </c>
      <c r="F204" s="220" t="s">
        <v>1</v>
      </c>
      <c r="G204" s="221" t="s">
        <v>341</v>
      </c>
      <c r="H204" s="222">
        <v>19.64</v>
      </c>
      <c r="I204" s="362">
        <f t="shared" si="13"/>
        <v>24.54</v>
      </c>
      <c r="J204" s="362">
        <f t="shared" si="14"/>
        <v>122.7</v>
      </c>
      <c r="K204" s="223"/>
      <c r="L204" s="224"/>
      <c r="M204" s="19"/>
      <c r="N204" s="19"/>
      <c r="O204" s="19"/>
      <c r="P204" s="19"/>
      <c r="Q204" s="19"/>
    </row>
    <row r="205" spans="2:17" s="12" customFormat="1" ht="15.75">
      <c r="B205" s="225" t="s">
        <v>902</v>
      </c>
      <c r="C205" s="218" t="s">
        <v>390</v>
      </c>
      <c r="D205" s="216" t="s">
        <v>50</v>
      </c>
      <c r="E205" s="219" t="s">
        <v>511</v>
      </c>
      <c r="F205" s="220" t="s">
        <v>1</v>
      </c>
      <c r="G205" s="221" t="s">
        <v>341</v>
      </c>
      <c r="H205" s="222">
        <v>33.74</v>
      </c>
      <c r="I205" s="362">
        <f t="shared" si="13"/>
        <v>42.15</v>
      </c>
      <c r="J205" s="362">
        <f t="shared" si="14"/>
        <v>210.75</v>
      </c>
      <c r="K205" s="223"/>
      <c r="L205" s="224"/>
      <c r="M205" s="19"/>
      <c r="N205" s="19"/>
      <c r="O205" s="19"/>
      <c r="P205" s="19"/>
      <c r="Q205" s="19"/>
    </row>
    <row r="206" spans="2:17" s="12" customFormat="1" ht="15.75">
      <c r="B206" s="571" t="s">
        <v>903</v>
      </c>
      <c r="C206" s="572" t="s">
        <v>794</v>
      </c>
      <c r="D206" s="573"/>
      <c r="E206" s="574"/>
      <c r="F206" s="575"/>
      <c r="G206" s="576"/>
      <c r="H206" s="577"/>
      <c r="I206" s="581"/>
      <c r="J206" s="582"/>
      <c r="K206" s="583"/>
      <c r="L206" s="580"/>
      <c r="M206" s="19"/>
      <c r="N206" s="19"/>
      <c r="O206" s="19"/>
      <c r="P206" s="19"/>
      <c r="Q206" s="19"/>
    </row>
    <row r="207" spans="2:17" s="12" customFormat="1" ht="30">
      <c r="B207" s="203" t="s">
        <v>904</v>
      </c>
      <c r="C207" s="218" t="s">
        <v>354</v>
      </c>
      <c r="D207" s="216" t="s">
        <v>42</v>
      </c>
      <c r="E207" s="219" t="s">
        <v>490</v>
      </c>
      <c r="F207" s="220" t="s">
        <v>34</v>
      </c>
      <c r="G207" s="221">
        <f>'Memorial de Cálculo'!L236</f>
        <v>437.12</v>
      </c>
      <c r="H207" s="364">
        <v>2.32</v>
      </c>
      <c r="I207" s="362">
        <f aca="true" t="shared" si="15" ref="I207:I214">ROUND(H207*($I$15/100+1),2)</f>
        <v>2.9</v>
      </c>
      <c r="J207" s="362">
        <f aca="true" t="shared" si="16" ref="J207:J214">ROUND(G207*I207,2)</f>
        <v>1267.65</v>
      </c>
      <c r="K207" s="223"/>
      <c r="L207" s="224"/>
      <c r="M207" s="19"/>
      <c r="N207" s="19"/>
      <c r="O207" s="19"/>
      <c r="P207" s="19"/>
      <c r="Q207" s="19"/>
    </row>
    <row r="208" spans="2:17" s="12" customFormat="1" ht="15.75">
      <c r="B208" s="203" t="s">
        <v>905</v>
      </c>
      <c r="C208" s="218" t="s">
        <v>363</v>
      </c>
      <c r="D208" s="216" t="s">
        <v>42</v>
      </c>
      <c r="E208" s="227">
        <v>73613</v>
      </c>
      <c r="F208" s="220" t="s">
        <v>34</v>
      </c>
      <c r="G208" s="221">
        <f>'Memorial de Cálculo'!L239</f>
        <v>55.18</v>
      </c>
      <c r="H208" s="364">
        <v>9.22</v>
      </c>
      <c r="I208" s="362">
        <f t="shared" si="15"/>
        <v>11.52</v>
      </c>
      <c r="J208" s="362">
        <f t="shared" si="16"/>
        <v>635.67</v>
      </c>
      <c r="K208" s="223"/>
      <c r="L208" s="224"/>
      <c r="M208" s="19"/>
      <c r="N208" s="19"/>
      <c r="O208" s="19"/>
      <c r="P208" s="19"/>
      <c r="Q208" s="19"/>
    </row>
    <row r="209" spans="2:17" s="12" customFormat="1" ht="15.75">
      <c r="B209" s="216" t="s">
        <v>906</v>
      </c>
      <c r="C209" s="218" t="s">
        <v>1050</v>
      </c>
      <c r="D209" s="216" t="s">
        <v>50</v>
      </c>
      <c r="E209" s="219" t="s">
        <v>505</v>
      </c>
      <c r="F209" s="220" t="s">
        <v>409</v>
      </c>
      <c r="G209" s="221">
        <f>'Memorial de Cálculo'!L242</f>
        <v>2</v>
      </c>
      <c r="H209" s="364">
        <v>24.14</v>
      </c>
      <c r="I209" s="362">
        <f t="shared" si="15"/>
        <v>30.16</v>
      </c>
      <c r="J209" s="362">
        <f t="shared" si="16"/>
        <v>60.32</v>
      </c>
      <c r="K209" s="223"/>
      <c r="L209" s="224"/>
      <c r="M209" s="19"/>
      <c r="N209" s="19"/>
      <c r="O209" s="19"/>
      <c r="P209" s="19"/>
      <c r="Q209" s="19"/>
    </row>
    <row r="210" spans="2:17" s="12" customFormat="1" ht="15.75">
      <c r="B210" s="216" t="s">
        <v>907</v>
      </c>
      <c r="C210" s="218" t="s">
        <v>1107</v>
      </c>
      <c r="D210" s="216" t="s">
        <v>50</v>
      </c>
      <c r="E210" s="219" t="s">
        <v>1129</v>
      </c>
      <c r="F210" s="220" t="s">
        <v>1</v>
      </c>
      <c r="G210" s="221">
        <f>'Memorial de Cálculo'!L245</f>
        <v>1</v>
      </c>
      <c r="H210" s="364">
        <v>16.27</v>
      </c>
      <c r="I210" s="362">
        <f t="shared" si="15"/>
        <v>20.33</v>
      </c>
      <c r="J210" s="362">
        <f t="shared" si="16"/>
        <v>20.33</v>
      </c>
      <c r="K210" s="223"/>
      <c r="L210" s="224"/>
      <c r="M210" s="19"/>
      <c r="N210" s="19"/>
      <c r="O210" s="19"/>
      <c r="P210" s="19"/>
      <c r="Q210" s="19"/>
    </row>
    <row r="211" spans="2:17" s="12" customFormat="1" ht="15.75">
      <c r="B211" s="216" t="s">
        <v>908</v>
      </c>
      <c r="C211" s="218" t="s">
        <v>1104</v>
      </c>
      <c r="D211" s="216" t="s">
        <v>50</v>
      </c>
      <c r="E211" s="219" t="s">
        <v>505</v>
      </c>
      <c r="F211" s="220" t="s">
        <v>1</v>
      </c>
      <c r="G211" s="221">
        <f>'Memorial de Cálculo'!L248</f>
        <v>1</v>
      </c>
      <c r="H211" s="364">
        <v>13.11</v>
      </c>
      <c r="I211" s="362">
        <f t="shared" si="15"/>
        <v>16.38</v>
      </c>
      <c r="J211" s="362">
        <f t="shared" si="16"/>
        <v>16.38</v>
      </c>
      <c r="K211" s="223"/>
      <c r="L211" s="224"/>
      <c r="M211" s="19"/>
      <c r="N211" s="19"/>
      <c r="O211" s="19"/>
      <c r="P211" s="19"/>
      <c r="Q211" s="19"/>
    </row>
    <row r="212" spans="2:17" s="12" customFormat="1" ht="30">
      <c r="B212" s="203" t="s">
        <v>1105</v>
      </c>
      <c r="C212" s="218" t="s">
        <v>508</v>
      </c>
      <c r="D212" s="216" t="s">
        <v>50</v>
      </c>
      <c r="E212" s="219" t="s">
        <v>507</v>
      </c>
      <c r="F212" s="220" t="s">
        <v>1</v>
      </c>
      <c r="G212" s="634">
        <f>'Memorial de Cálculo'!L251</f>
        <v>8</v>
      </c>
      <c r="H212" s="222">
        <v>145.64</v>
      </c>
      <c r="I212" s="362">
        <f t="shared" si="15"/>
        <v>181.95</v>
      </c>
      <c r="J212" s="362">
        <f t="shared" si="16"/>
        <v>1455.6</v>
      </c>
      <c r="K212" s="223"/>
      <c r="L212" s="224"/>
      <c r="M212" s="19"/>
      <c r="N212" s="19"/>
      <c r="O212" s="19"/>
      <c r="P212" s="19"/>
      <c r="Q212" s="19"/>
    </row>
    <row r="213" spans="2:17" s="12" customFormat="1" ht="45">
      <c r="B213" s="203" t="s">
        <v>1106</v>
      </c>
      <c r="C213" s="218" t="s">
        <v>385</v>
      </c>
      <c r="D213" s="216" t="s">
        <v>228</v>
      </c>
      <c r="E213" s="219" t="s">
        <v>400</v>
      </c>
      <c r="F213" s="220" t="s">
        <v>1</v>
      </c>
      <c r="G213" s="221"/>
      <c r="H213" s="222">
        <v>78.76</v>
      </c>
      <c r="I213" s="362">
        <f t="shared" si="15"/>
        <v>98.39</v>
      </c>
      <c r="J213" s="362">
        <f t="shared" si="16"/>
        <v>0</v>
      </c>
      <c r="K213" s="223"/>
      <c r="L213" s="224"/>
      <c r="M213" s="19"/>
      <c r="N213" s="19"/>
      <c r="O213" s="19"/>
      <c r="P213" s="19"/>
      <c r="Q213" s="19"/>
    </row>
    <row r="214" spans="2:17" s="12" customFormat="1" ht="15.75">
      <c r="B214" s="203" t="s">
        <v>1108</v>
      </c>
      <c r="C214" s="218" t="s">
        <v>388</v>
      </c>
      <c r="D214" s="216" t="s">
        <v>42</v>
      </c>
      <c r="E214" s="219">
        <v>83540</v>
      </c>
      <c r="F214" s="220" t="s">
        <v>409</v>
      </c>
      <c r="G214" s="221">
        <f>'Memorial de Cálculo'!L254</f>
        <v>3</v>
      </c>
      <c r="H214" s="222">
        <v>9.89</v>
      </c>
      <c r="I214" s="362">
        <f t="shared" si="15"/>
        <v>12.36</v>
      </c>
      <c r="J214" s="362">
        <f t="shared" si="16"/>
        <v>37.08</v>
      </c>
      <c r="K214" s="223"/>
      <c r="L214" s="224"/>
      <c r="M214" s="19"/>
      <c r="N214" s="19"/>
      <c r="O214" s="19"/>
      <c r="P214" s="19"/>
      <c r="Q214" s="19"/>
    </row>
    <row r="215" spans="2:17" s="12" customFormat="1" ht="15.75">
      <c r="B215" s="584" t="s">
        <v>909</v>
      </c>
      <c r="C215" s="586" t="s">
        <v>392</v>
      </c>
      <c r="D215" s="587"/>
      <c r="E215" s="588"/>
      <c r="F215" s="589"/>
      <c r="G215" s="590"/>
      <c r="H215" s="591"/>
      <c r="I215" s="576"/>
      <c r="J215" s="576"/>
      <c r="K215" s="592"/>
      <c r="L215" s="580"/>
      <c r="M215" s="19"/>
      <c r="N215" s="19"/>
      <c r="O215" s="19"/>
      <c r="P215" s="19"/>
      <c r="Q215" s="19"/>
    </row>
    <row r="216" spans="2:17" s="12" customFormat="1" ht="15.75">
      <c r="B216" s="225" t="s">
        <v>910</v>
      </c>
      <c r="C216" s="218" t="s">
        <v>393</v>
      </c>
      <c r="D216" s="216" t="s">
        <v>42</v>
      </c>
      <c r="E216" s="219">
        <v>72251</v>
      </c>
      <c r="F216" s="220" t="s">
        <v>34</v>
      </c>
      <c r="G216" s="221" t="s">
        <v>407</v>
      </c>
      <c r="H216" s="355">
        <v>9.48</v>
      </c>
      <c r="I216" s="202">
        <f t="shared" si="13"/>
        <v>11.84</v>
      </c>
      <c r="J216" s="202">
        <f>ROUND(G216*I216,2)</f>
        <v>355.2</v>
      </c>
      <c r="K216" s="223"/>
      <c r="L216" s="224"/>
      <c r="M216" s="19"/>
      <c r="N216" s="19"/>
      <c r="O216" s="19"/>
      <c r="P216" s="19"/>
      <c r="Q216" s="19"/>
    </row>
    <row r="217" spans="2:17" s="12" customFormat="1" ht="15.75">
      <c r="B217" s="225" t="s">
        <v>911</v>
      </c>
      <c r="C217" s="218" t="s">
        <v>394</v>
      </c>
      <c r="D217" s="216" t="s">
        <v>42</v>
      </c>
      <c r="E217" s="219">
        <v>72254</v>
      </c>
      <c r="F217" s="220" t="s">
        <v>34</v>
      </c>
      <c r="G217" s="221" t="s">
        <v>408</v>
      </c>
      <c r="H217" s="222">
        <v>26.41</v>
      </c>
      <c r="I217" s="202">
        <f t="shared" si="13"/>
        <v>32.99</v>
      </c>
      <c r="J217" s="202">
        <f aca="true" t="shared" si="17" ref="J217:J222">ROUND(G217*I217,2)</f>
        <v>1649.5</v>
      </c>
      <c r="K217" s="223"/>
      <c r="L217" s="224"/>
      <c r="M217" s="19"/>
      <c r="N217" s="19"/>
      <c r="O217" s="19"/>
      <c r="P217" s="19"/>
      <c r="Q217" s="19"/>
    </row>
    <row r="218" spans="2:17" s="12" customFormat="1" ht="15.75">
      <c r="B218" s="225" t="s">
        <v>912</v>
      </c>
      <c r="C218" s="218" t="s">
        <v>395</v>
      </c>
      <c r="D218" s="216" t="s">
        <v>46</v>
      </c>
      <c r="E218" s="219" t="s">
        <v>512</v>
      </c>
      <c r="F218" s="220" t="s">
        <v>1</v>
      </c>
      <c r="G218" s="221" t="s">
        <v>292</v>
      </c>
      <c r="H218" s="222">
        <v>77.63</v>
      </c>
      <c r="I218" s="362">
        <f t="shared" si="13"/>
        <v>96.98</v>
      </c>
      <c r="J218" s="362">
        <f t="shared" si="17"/>
        <v>1163.76</v>
      </c>
      <c r="K218" s="223"/>
      <c r="L218" s="224"/>
      <c r="M218" s="19"/>
      <c r="N218" s="19"/>
      <c r="O218" s="19"/>
      <c r="P218" s="19"/>
      <c r="Q218" s="19"/>
    </row>
    <row r="219" spans="2:17" s="12" customFormat="1" ht="30">
      <c r="B219" s="225" t="s">
        <v>913</v>
      </c>
      <c r="C219" s="218" t="s">
        <v>396</v>
      </c>
      <c r="D219" s="216" t="s">
        <v>228</v>
      </c>
      <c r="E219" s="219" t="s">
        <v>402</v>
      </c>
      <c r="F219" s="220" t="s">
        <v>1</v>
      </c>
      <c r="G219" s="221" t="s">
        <v>241</v>
      </c>
      <c r="H219" s="222">
        <v>2285.22</v>
      </c>
      <c r="I219" s="362">
        <f t="shared" si="13"/>
        <v>2854.93</v>
      </c>
      <c r="J219" s="362">
        <f t="shared" si="17"/>
        <v>2854.93</v>
      </c>
      <c r="K219" s="223"/>
      <c r="L219" s="224"/>
      <c r="M219" s="19"/>
      <c r="N219" s="19"/>
      <c r="O219" s="19"/>
      <c r="P219" s="19"/>
      <c r="Q219" s="19"/>
    </row>
    <row r="220" spans="2:17" s="12" customFormat="1" ht="30">
      <c r="B220" s="225" t="s">
        <v>914</v>
      </c>
      <c r="C220" s="218" t="s">
        <v>397</v>
      </c>
      <c r="D220" s="216" t="s">
        <v>50</v>
      </c>
      <c r="E220" s="219" t="s">
        <v>513</v>
      </c>
      <c r="F220" s="220" t="s">
        <v>1</v>
      </c>
      <c r="G220" s="221">
        <v>10</v>
      </c>
      <c r="H220" s="222">
        <v>18.79</v>
      </c>
      <c r="I220" s="362">
        <f t="shared" si="13"/>
        <v>23.47</v>
      </c>
      <c r="J220" s="362">
        <f t="shared" si="17"/>
        <v>234.7</v>
      </c>
      <c r="K220" s="223"/>
      <c r="L220" s="224"/>
      <c r="M220" s="19"/>
      <c r="N220" s="19"/>
      <c r="O220" s="19"/>
      <c r="P220" s="19"/>
      <c r="Q220" s="19"/>
    </row>
    <row r="221" spans="2:17" s="12" customFormat="1" ht="15.75">
      <c r="B221" s="225" t="s">
        <v>915</v>
      </c>
      <c r="C221" s="218" t="s">
        <v>398</v>
      </c>
      <c r="D221" s="216" t="s">
        <v>228</v>
      </c>
      <c r="E221" s="219">
        <v>420530</v>
      </c>
      <c r="F221" s="220" t="s">
        <v>1</v>
      </c>
      <c r="G221" s="221" t="s">
        <v>281</v>
      </c>
      <c r="H221" s="222">
        <v>23.86</v>
      </c>
      <c r="I221" s="362">
        <f t="shared" si="13"/>
        <v>29.81</v>
      </c>
      <c r="J221" s="362">
        <f t="shared" si="17"/>
        <v>59.62</v>
      </c>
      <c r="K221" s="223"/>
      <c r="L221" s="224"/>
      <c r="M221" s="19"/>
      <c r="N221" s="19"/>
      <c r="O221" s="19"/>
      <c r="P221" s="19"/>
      <c r="Q221" s="19"/>
    </row>
    <row r="222" spans="2:17" s="12" customFormat="1" ht="30.75" thickBot="1">
      <c r="B222" s="225" t="s">
        <v>916</v>
      </c>
      <c r="C222" s="218" t="s">
        <v>399</v>
      </c>
      <c r="D222" s="216" t="s">
        <v>228</v>
      </c>
      <c r="E222" s="219" t="s">
        <v>403</v>
      </c>
      <c r="F222" s="220" t="s">
        <v>1</v>
      </c>
      <c r="G222" s="221" t="s">
        <v>281</v>
      </c>
      <c r="H222" s="222">
        <v>25.33</v>
      </c>
      <c r="I222" s="362">
        <f t="shared" si="13"/>
        <v>31.64</v>
      </c>
      <c r="J222" s="362">
        <f t="shared" si="17"/>
        <v>63.28</v>
      </c>
      <c r="K222" s="223"/>
      <c r="L222" s="224"/>
      <c r="M222" s="19"/>
      <c r="N222" s="19"/>
      <c r="O222" s="19"/>
      <c r="P222" s="19"/>
      <c r="Q222" s="19"/>
    </row>
    <row r="223" spans="2:17" s="12" customFormat="1" ht="16.5" thickBot="1">
      <c r="B223" s="568" t="s">
        <v>654</v>
      </c>
      <c r="C223" s="554" t="s">
        <v>650</v>
      </c>
      <c r="D223" s="555"/>
      <c r="E223" s="569"/>
      <c r="F223" s="556"/>
      <c r="G223" s="557"/>
      <c r="H223" s="557"/>
      <c r="I223" s="557"/>
      <c r="J223" s="558"/>
      <c r="K223" s="570">
        <f>SUM(J224:J225)</f>
        <v>8202</v>
      </c>
      <c r="L223" s="560">
        <f>K223/$K$341</f>
        <v>0.00929630159188114</v>
      </c>
      <c r="M223" s="19"/>
      <c r="N223" s="19"/>
      <c r="O223" s="19"/>
      <c r="P223" s="19"/>
      <c r="Q223" s="19"/>
    </row>
    <row r="224" spans="2:17" s="12" customFormat="1" ht="30">
      <c r="B224" s="464" t="s">
        <v>655</v>
      </c>
      <c r="C224" s="463" t="s">
        <v>410</v>
      </c>
      <c r="D224" s="398" t="s">
        <v>42</v>
      </c>
      <c r="E224" s="277">
        <v>87881</v>
      </c>
      <c r="F224" s="277" t="s">
        <v>0</v>
      </c>
      <c r="G224" s="362">
        <v>268.83</v>
      </c>
      <c r="H224" s="471">
        <v>2.95</v>
      </c>
      <c r="I224" s="362">
        <f>ROUND(H224*($I$15/100+1),2)</f>
        <v>3.69</v>
      </c>
      <c r="J224" s="362">
        <f>ROUND(G224*I224,2)</f>
        <v>991.98</v>
      </c>
      <c r="K224" s="465"/>
      <c r="L224" s="375"/>
      <c r="M224" s="19"/>
      <c r="N224" s="19"/>
      <c r="O224" s="19"/>
      <c r="P224" s="19"/>
      <c r="Q224" s="19"/>
    </row>
    <row r="225" spans="2:17" s="12" customFormat="1" ht="30">
      <c r="B225" s="464" t="s">
        <v>656</v>
      </c>
      <c r="C225" s="359" t="s">
        <v>580</v>
      </c>
      <c r="D225" s="216" t="s">
        <v>46</v>
      </c>
      <c r="E225" s="216" t="s">
        <v>585</v>
      </c>
      <c r="F225" s="277" t="s">
        <v>0</v>
      </c>
      <c r="G225" s="239" t="s">
        <v>414</v>
      </c>
      <c r="H225" s="450">
        <v>21.47</v>
      </c>
      <c r="I225" s="362">
        <f>ROUND(H225*($I$15/100+1),2)</f>
        <v>26.82</v>
      </c>
      <c r="J225" s="362">
        <f>ROUND(G225*I225,2)</f>
        <v>7210.02</v>
      </c>
      <c r="K225" s="237"/>
      <c r="L225" s="238"/>
      <c r="M225" s="19"/>
      <c r="N225" s="19"/>
      <c r="O225" s="19"/>
      <c r="P225" s="19"/>
      <c r="Q225" s="19"/>
    </row>
    <row r="226" spans="2:17" s="12" customFormat="1" ht="15.75">
      <c r="B226" s="571" t="s">
        <v>657</v>
      </c>
      <c r="C226" s="572" t="s">
        <v>794</v>
      </c>
      <c r="D226" s="573"/>
      <c r="E226" s="574"/>
      <c r="F226" s="575"/>
      <c r="G226" s="576"/>
      <c r="H226" s="577"/>
      <c r="I226" s="581"/>
      <c r="J226" s="582"/>
      <c r="K226" s="583"/>
      <c r="L226" s="580"/>
      <c r="M226" s="19"/>
      <c r="N226" s="19"/>
      <c r="O226" s="19"/>
      <c r="P226" s="19"/>
      <c r="Q226" s="19"/>
    </row>
    <row r="227" spans="2:17" s="12" customFormat="1" ht="30">
      <c r="B227" s="464" t="s">
        <v>917</v>
      </c>
      <c r="C227" s="463" t="s">
        <v>410</v>
      </c>
      <c r="D227" s="398" t="s">
        <v>42</v>
      </c>
      <c r="E227" s="277">
        <v>87881</v>
      </c>
      <c r="F227" s="277" t="s">
        <v>0</v>
      </c>
      <c r="G227" s="362">
        <f>'Memorial de Cálculo'!L259</f>
        <v>87.18</v>
      </c>
      <c r="H227" s="471">
        <v>2.95</v>
      </c>
      <c r="I227" s="362">
        <f>ROUND(H227*($I$15/100+1),2)</f>
        <v>3.69</v>
      </c>
      <c r="J227" s="362">
        <f>ROUND(G227*I227,2)</f>
        <v>321.69</v>
      </c>
      <c r="K227" s="465"/>
      <c r="L227" s="375"/>
      <c r="M227" s="19"/>
      <c r="N227" s="19"/>
      <c r="O227" s="19"/>
      <c r="P227" s="19"/>
      <c r="Q227" s="19"/>
    </row>
    <row r="228" spans="2:17" s="12" customFormat="1" ht="30.75" thickBot="1">
      <c r="B228" s="713" t="s">
        <v>918</v>
      </c>
      <c r="C228" s="451" t="s">
        <v>580</v>
      </c>
      <c r="D228" s="454" t="s">
        <v>46</v>
      </c>
      <c r="E228" s="454" t="s">
        <v>585</v>
      </c>
      <c r="F228" s="460" t="s">
        <v>0</v>
      </c>
      <c r="G228" s="456">
        <f>'Memorial de Cálculo'!L262</f>
        <v>87.18</v>
      </c>
      <c r="H228" s="749">
        <v>21.47</v>
      </c>
      <c r="I228" s="458">
        <f>ROUND(H228*($I$15/100+1),2)</f>
        <v>26.82</v>
      </c>
      <c r="J228" s="458">
        <f>ROUND(G228*I228,2)</f>
        <v>2338.17</v>
      </c>
      <c r="K228" s="594"/>
      <c r="L228" s="469"/>
      <c r="M228" s="19"/>
      <c r="N228" s="19"/>
      <c r="O228" s="19"/>
      <c r="P228" s="19"/>
      <c r="Q228" s="19"/>
    </row>
    <row r="229" spans="2:17" s="12" customFormat="1" ht="16.5" thickBot="1">
      <c r="B229" s="568" t="s">
        <v>658</v>
      </c>
      <c r="C229" s="554" t="s">
        <v>652</v>
      </c>
      <c r="D229" s="555"/>
      <c r="E229" s="569"/>
      <c r="F229" s="556"/>
      <c r="G229" s="557"/>
      <c r="H229" s="557"/>
      <c r="I229" s="557"/>
      <c r="J229" s="558"/>
      <c r="K229" s="570">
        <f>SUM(J230:J237)</f>
        <v>48467.07</v>
      </c>
      <c r="L229" s="560">
        <f>K229/$K$341</f>
        <v>0.054933491830628456</v>
      </c>
      <c r="M229" s="19"/>
      <c r="N229" s="19"/>
      <c r="O229" s="19"/>
      <c r="P229" s="19"/>
      <c r="Q229" s="19"/>
    </row>
    <row r="230" spans="2:17" s="12" customFormat="1" ht="30">
      <c r="B230" s="358" t="s">
        <v>422</v>
      </c>
      <c r="C230" s="359" t="s">
        <v>410</v>
      </c>
      <c r="D230" s="243" t="s">
        <v>42</v>
      </c>
      <c r="E230" s="216">
        <v>87878</v>
      </c>
      <c r="F230" s="277" t="s">
        <v>0</v>
      </c>
      <c r="G230" s="239" t="s">
        <v>416</v>
      </c>
      <c r="H230" s="472">
        <v>2.75</v>
      </c>
      <c r="I230" s="362">
        <f>ROUND(H230*($I$15/100+1),2)</f>
        <v>3.44</v>
      </c>
      <c r="J230" s="362">
        <f>ROUND(G230*I230,2)</f>
        <v>2940.68</v>
      </c>
      <c r="K230" s="237"/>
      <c r="L230" s="238"/>
      <c r="M230" s="19"/>
      <c r="N230" s="19"/>
      <c r="O230" s="19"/>
      <c r="P230" s="19"/>
      <c r="Q230" s="19"/>
    </row>
    <row r="231" spans="2:17" s="12" customFormat="1" ht="30">
      <c r="B231" s="358" t="s">
        <v>427</v>
      </c>
      <c r="C231" s="397" t="s">
        <v>1156</v>
      </c>
      <c r="D231" s="398" t="s">
        <v>42</v>
      </c>
      <c r="E231" s="216">
        <v>87535</v>
      </c>
      <c r="F231" s="277" t="s">
        <v>0</v>
      </c>
      <c r="G231" s="239" t="s">
        <v>417</v>
      </c>
      <c r="H231" s="239">
        <v>16.25</v>
      </c>
      <c r="I231" s="362">
        <f>ROUND(H231*($I$15/100+1),2)</f>
        <v>20.3</v>
      </c>
      <c r="J231" s="362">
        <f>ROUND(G231*I231,2)</f>
        <v>5705.72</v>
      </c>
      <c r="K231" s="237"/>
      <c r="L231" s="238"/>
      <c r="M231" s="19"/>
      <c r="N231" s="19"/>
      <c r="O231" s="19"/>
      <c r="P231" s="19"/>
      <c r="Q231" s="19"/>
    </row>
    <row r="232" spans="2:17" s="12" customFormat="1" ht="30">
      <c r="B232" s="358" t="s">
        <v>428</v>
      </c>
      <c r="C232" s="397" t="s">
        <v>582</v>
      </c>
      <c r="D232" s="398" t="s">
        <v>42</v>
      </c>
      <c r="E232" s="462" t="s">
        <v>583</v>
      </c>
      <c r="F232" s="277" t="s">
        <v>0</v>
      </c>
      <c r="G232" s="239" t="s">
        <v>418</v>
      </c>
      <c r="H232" s="239">
        <v>19.46</v>
      </c>
      <c r="I232" s="362">
        <f>ROUND(H232*($I$15/100+1),2)</f>
        <v>24.31</v>
      </c>
      <c r="J232" s="362">
        <f>ROUND(G232*I232,2)</f>
        <v>13948.59</v>
      </c>
      <c r="K232" s="237"/>
      <c r="L232" s="238"/>
      <c r="M232" s="19"/>
      <c r="N232" s="19"/>
      <c r="O232" s="19"/>
      <c r="P232" s="19"/>
      <c r="Q232" s="19"/>
    </row>
    <row r="233" spans="2:17" s="12" customFormat="1" ht="30">
      <c r="B233" s="358" t="s">
        <v>429</v>
      </c>
      <c r="C233" s="359" t="s">
        <v>584</v>
      </c>
      <c r="D233" s="243" t="s">
        <v>130</v>
      </c>
      <c r="E233" s="216"/>
      <c r="F233" s="277" t="s">
        <v>0</v>
      </c>
      <c r="G233" s="239" t="s">
        <v>419</v>
      </c>
      <c r="H233" s="235">
        <f>'Composições de Custo'!I291</f>
        <v>56.06</v>
      </c>
      <c r="I233" s="362">
        <f>ROUND(H233*($I$15/100+1),2)</f>
        <v>70.04</v>
      </c>
      <c r="J233" s="362">
        <f>ROUND(G233*I233,2)</f>
        <v>20079.77</v>
      </c>
      <c r="K233" s="237"/>
      <c r="L233" s="238"/>
      <c r="M233" s="19"/>
      <c r="N233" s="19"/>
      <c r="O233" s="19"/>
      <c r="P233" s="19"/>
      <c r="Q233" s="19"/>
    </row>
    <row r="234" spans="2:17" s="12" customFormat="1" ht="15.75">
      <c r="B234" s="358" t="s">
        <v>430</v>
      </c>
      <c r="C234" s="208" t="s">
        <v>412</v>
      </c>
      <c r="D234" s="244" t="s">
        <v>42</v>
      </c>
      <c r="E234" s="203" t="s">
        <v>415</v>
      </c>
      <c r="F234" s="203" t="s">
        <v>34</v>
      </c>
      <c r="G234" s="204" t="s">
        <v>292</v>
      </c>
      <c r="H234" s="205">
        <v>22.31</v>
      </c>
      <c r="I234" s="202">
        <f>ROUND(H234*($I$15/100+1),2)</f>
        <v>27.87</v>
      </c>
      <c r="J234" s="202">
        <f>ROUND(G234*I234,2)</f>
        <v>334.44</v>
      </c>
      <c r="K234" s="211"/>
      <c r="L234" s="207"/>
      <c r="M234" s="19"/>
      <c r="N234" s="19"/>
      <c r="O234" s="19"/>
      <c r="P234" s="19"/>
      <c r="Q234" s="19"/>
    </row>
    <row r="235" spans="2:17" s="12" customFormat="1" ht="15.75">
      <c r="B235" s="571" t="s">
        <v>431</v>
      </c>
      <c r="C235" s="572" t="s">
        <v>794</v>
      </c>
      <c r="D235" s="573"/>
      <c r="E235" s="574"/>
      <c r="F235" s="575"/>
      <c r="G235" s="576"/>
      <c r="H235" s="577"/>
      <c r="I235" s="581"/>
      <c r="J235" s="582"/>
      <c r="K235" s="583"/>
      <c r="L235" s="580"/>
      <c r="M235" s="19"/>
      <c r="N235" s="19"/>
      <c r="O235" s="19"/>
      <c r="P235" s="19"/>
      <c r="Q235" s="19"/>
    </row>
    <row r="236" spans="2:17" s="12" customFormat="1" ht="30">
      <c r="B236" s="358" t="s">
        <v>920</v>
      </c>
      <c r="C236" s="359" t="s">
        <v>410</v>
      </c>
      <c r="D236" s="243" t="s">
        <v>42</v>
      </c>
      <c r="E236" s="216">
        <v>87878</v>
      </c>
      <c r="F236" s="277" t="s">
        <v>0</v>
      </c>
      <c r="G236" s="239">
        <f>'Memorial de Cálculo'!L267</f>
        <v>196.68</v>
      </c>
      <c r="H236" s="472">
        <v>2.75</v>
      </c>
      <c r="I236" s="362">
        <f>ROUND(H236*($I$15/100+1),2)</f>
        <v>3.44</v>
      </c>
      <c r="J236" s="362">
        <f>ROUND(G236*I236,2)</f>
        <v>676.58</v>
      </c>
      <c r="K236" s="237"/>
      <c r="L236" s="238"/>
      <c r="M236" s="19"/>
      <c r="N236" s="19"/>
      <c r="O236" s="19"/>
      <c r="P236" s="19"/>
      <c r="Q236" s="19"/>
    </row>
    <row r="237" spans="2:17" s="12" customFormat="1" ht="30.75" thickBot="1">
      <c r="B237" s="358" t="s">
        <v>921</v>
      </c>
      <c r="C237" s="397" t="s">
        <v>582</v>
      </c>
      <c r="D237" s="398" t="s">
        <v>42</v>
      </c>
      <c r="E237" s="462" t="s">
        <v>583</v>
      </c>
      <c r="F237" s="277" t="s">
        <v>0</v>
      </c>
      <c r="G237" s="239">
        <f>'Memorial de Cálculo'!L270</f>
        <v>196.68</v>
      </c>
      <c r="H237" s="239">
        <v>19.46</v>
      </c>
      <c r="I237" s="362">
        <f>ROUND(H237*($I$15/100+1),2)</f>
        <v>24.31</v>
      </c>
      <c r="J237" s="362">
        <f>ROUND(G237*I237,2)</f>
        <v>4781.29</v>
      </c>
      <c r="K237" s="237"/>
      <c r="L237" s="238"/>
      <c r="M237" s="19"/>
      <c r="N237" s="19"/>
      <c r="O237" s="19"/>
      <c r="P237" s="19"/>
      <c r="Q237" s="19"/>
    </row>
    <row r="238" spans="2:17" s="12" customFormat="1" ht="16.5" thickBot="1">
      <c r="B238" s="568" t="s">
        <v>84</v>
      </c>
      <c r="C238" s="554" t="s">
        <v>653</v>
      </c>
      <c r="D238" s="555"/>
      <c r="E238" s="569"/>
      <c r="F238" s="556"/>
      <c r="G238" s="557"/>
      <c r="H238" s="557"/>
      <c r="I238" s="557"/>
      <c r="J238" s="558"/>
      <c r="K238" s="570">
        <f>SUM(J239:J250)</f>
        <v>33926.95</v>
      </c>
      <c r="L238" s="560">
        <f>K238/$K$341</f>
        <v>0.03845344541485879</v>
      </c>
      <c r="M238" s="19"/>
      <c r="N238" s="19"/>
      <c r="O238" s="19"/>
      <c r="P238" s="19"/>
      <c r="Q238" s="19"/>
    </row>
    <row r="239" spans="2:17" s="12" customFormat="1" ht="30">
      <c r="B239" s="358" t="s">
        <v>659</v>
      </c>
      <c r="C239" s="463" t="s">
        <v>411</v>
      </c>
      <c r="D239" s="398" t="s">
        <v>42</v>
      </c>
      <c r="E239" s="277">
        <v>87881</v>
      </c>
      <c r="F239" s="277" t="s">
        <v>0</v>
      </c>
      <c r="G239" s="239">
        <f>'Memorial de Cálculo'!L276</f>
        <v>388.86999999999995</v>
      </c>
      <c r="H239" s="472">
        <v>2.75</v>
      </c>
      <c r="I239" s="362">
        <f aca="true" t="shared" si="18" ref="I239:I244">ROUND(H239*($I$15/100+1),2)</f>
        <v>3.44</v>
      </c>
      <c r="J239" s="362">
        <f aca="true" t="shared" si="19" ref="J239:J244">ROUND(G239*I239,2)</f>
        <v>1337.71</v>
      </c>
      <c r="K239" s="237"/>
      <c r="L239" s="238"/>
      <c r="M239" s="19"/>
      <c r="N239" s="19"/>
      <c r="O239" s="19"/>
      <c r="P239" s="19"/>
      <c r="Q239" s="19"/>
    </row>
    <row r="240" spans="2:17" s="12" customFormat="1" ht="30">
      <c r="B240" s="358" t="s">
        <v>660</v>
      </c>
      <c r="C240" s="397" t="s">
        <v>582</v>
      </c>
      <c r="D240" s="398" t="s">
        <v>42</v>
      </c>
      <c r="E240" s="462" t="s">
        <v>583</v>
      </c>
      <c r="F240" s="277" t="s">
        <v>0</v>
      </c>
      <c r="G240" s="239">
        <f>'Memorial de Cálculo'!L281</f>
        <v>388.86999999999995</v>
      </c>
      <c r="H240" s="239">
        <v>19.46</v>
      </c>
      <c r="I240" s="362">
        <f t="shared" si="18"/>
        <v>24.31</v>
      </c>
      <c r="J240" s="362">
        <f t="shared" si="19"/>
        <v>9453.43</v>
      </c>
      <c r="K240" s="237"/>
      <c r="L240" s="238"/>
      <c r="M240" s="19"/>
      <c r="N240" s="19"/>
      <c r="O240" s="19"/>
      <c r="P240" s="19"/>
      <c r="Q240" s="19"/>
    </row>
    <row r="241" spans="2:17" s="12" customFormat="1" ht="30">
      <c r="B241" s="358" t="s">
        <v>661</v>
      </c>
      <c r="C241" s="397" t="s">
        <v>581</v>
      </c>
      <c r="D241" s="398" t="s">
        <v>42</v>
      </c>
      <c r="E241" s="216">
        <v>87535</v>
      </c>
      <c r="F241" s="277" t="s">
        <v>0</v>
      </c>
      <c r="G241" s="239">
        <f>'Memorial de Cálculo'!L286</f>
        <v>64.30550000000001</v>
      </c>
      <c r="H241" s="239">
        <v>16.25</v>
      </c>
      <c r="I241" s="362">
        <f t="shared" si="18"/>
        <v>20.3</v>
      </c>
      <c r="J241" s="362">
        <f t="shared" si="19"/>
        <v>1305.4</v>
      </c>
      <c r="K241" s="237"/>
      <c r="L241" s="238"/>
      <c r="M241" s="19"/>
      <c r="N241" s="19"/>
      <c r="O241" s="19"/>
      <c r="P241" s="19"/>
      <c r="Q241" s="19"/>
    </row>
    <row r="242" spans="2:17" s="12" customFormat="1" ht="15.75">
      <c r="B242" s="358" t="s">
        <v>662</v>
      </c>
      <c r="C242" s="397" t="s">
        <v>599</v>
      </c>
      <c r="D242" s="398" t="s">
        <v>46</v>
      </c>
      <c r="E242" s="462" t="s">
        <v>1158</v>
      </c>
      <c r="F242" s="277" t="s">
        <v>0</v>
      </c>
      <c r="G242" s="239">
        <f>'Memorial de Cálculo'!L289</f>
        <v>20.3895</v>
      </c>
      <c r="H242" s="239">
        <v>110.56</v>
      </c>
      <c r="I242" s="362">
        <f t="shared" si="18"/>
        <v>138.12</v>
      </c>
      <c r="J242" s="362">
        <f t="shared" si="19"/>
        <v>2816.2</v>
      </c>
      <c r="K242" s="237"/>
      <c r="L242" s="238"/>
      <c r="M242" s="19"/>
      <c r="N242" s="19"/>
      <c r="O242" s="19"/>
      <c r="P242" s="19"/>
      <c r="Q242" s="19"/>
    </row>
    <row r="243" spans="2:17" s="12" customFormat="1" ht="30">
      <c r="B243" s="358" t="s">
        <v>663</v>
      </c>
      <c r="C243" s="397" t="s">
        <v>600</v>
      </c>
      <c r="D243" s="398" t="s">
        <v>46</v>
      </c>
      <c r="E243" s="462" t="s">
        <v>1159</v>
      </c>
      <c r="F243" s="277" t="s">
        <v>0</v>
      </c>
      <c r="G243" s="239">
        <f>'Memorial de Cálculo'!L293</f>
        <v>38.386</v>
      </c>
      <c r="H243" s="239">
        <v>125.74</v>
      </c>
      <c r="I243" s="362">
        <f t="shared" si="18"/>
        <v>157.09</v>
      </c>
      <c r="J243" s="362">
        <f t="shared" si="19"/>
        <v>6030.06</v>
      </c>
      <c r="K243" s="237"/>
      <c r="L243" s="238"/>
      <c r="M243" s="19"/>
      <c r="N243" s="19"/>
      <c r="O243" s="19"/>
      <c r="P243" s="19"/>
      <c r="Q243" s="19"/>
    </row>
    <row r="244" spans="2:17" s="12" customFormat="1" ht="15.75">
      <c r="B244" s="358" t="s">
        <v>664</v>
      </c>
      <c r="C244" s="399" t="s">
        <v>1162</v>
      </c>
      <c r="D244" s="216" t="s">
        <v>46</v>
      </c>
      <c r="E244" s="475" t="s">
        <v>1060</v>
      </c>
      <c r="F244" s="216" t="s">
        <v>34</v>
      </c>
      <c r="G244" s="239">
        <f>'Memorial de Cálculo'!L304</f>
        <v>18.7</v>
      </c>
      <c r="H244" s="473">
        <v>52.43</v>
      </c>
      <c r="I244" s="362">
        <f t="shared" si="18"/>
        <v>65.5</v>
      </c>
      <c r="J244" s="362">
        <f t="shared" si="19"/>
        <v>1224.85</v>
      </c>
      <c r="K244" s="237"/>
      <c r="L244" s="238"/>
      <c r="M244" s="19"/>
      <c r="N244" s="19"/>
      <c r="O244" s="19"/>
      <c r="P244" s="19"/>
      <c r="Q244" s="19"/>
    </row>
    <row r="245" spans="2:17" s="12" customFormat="1" ht="15.75">
      <c r="B245" s="584" t="s">
        <v>665</v>
      </c>
      <c r="C245" s="586" t="s">
        <v>516</v>
      </c>
      <c r="D245" s="587"/>
      <c r="E245" s="588"/>
      <c r="F245" s="589"/>
      <c r="G245" s="590"/>
      <c r="H245" s="591"/>
      <c r="I245" s="576"/>
      <c r="J245" s="576"/>
      <c r="K245" s="592"/>
      <c r="L245" s="580"/>
      <c r="M245" s="19"/>
      <c r="N245" s="19"/>
      <c r="O245" s="19"/>
      <c r="P245" s="19"/>
      <c r="Q245" s="19"/>
    </row>
    <row r="246" spans="2:17" s="12" customFormat="1" ht="30">
      <c r="B246" s="358" t="s">
        <v>922</v>
      </c>
      <c r="C246" s="463" t="s">
        <v>411</v>
      </c>
      <c r="D246" s="398" t="s">
        <v>42</v>
      </c>
      <c r="E246" s="277">
        <v>87881</v>
      </c>
      <c r="F246" s="277" t="s">
        <v>0</v>
      </c>
      <c r="G246" s="239">
        <f>'Memorial de Cálculo'!L309</f>
        <v>121.0355</v>
      </c>
      <c r="H246" s="472">
        <v>2.75</v>
      </c>
      <c r="I246" s="362">
        <f>ROUND(H246*($I$15/100+1),2)</f>
        <v>3.44</v>
      </c>
      <c r="J246" s="362">
        <f>ROUND(G246*I246,2)</f>
        <v>416.36</v>
      </c>
      <c r="K246" s="237"/>
      <c r="L246" s="238"/>
      <c r="M246" s="19"/>
      <c r="N246" s="19"/>
      <c r="O246" s="19"/>
      <c r="P246" s="19"/>
      <c r="Q246" s="19"/>
    </row>
    <row r="247" spans="2:17" s="12" customFormat="1" ht="30">
      <c r="B247" s="358" t="s">
        <v>923</v>
      </c>
      <c r="C247" s="397" t="s">
        <v>582</v>
      </c>
      <c r="D247" s="398" t="s">
        <v>42</v>
      </c>
      <c r="E247" s="462" t="s">
        <v>583</v>
      </c>
      <c r="F247" s="277" t="s">
        <v>0</v>
      </c>
      <c r="G247" s="239">
        <f>'Memorial de Cálculo'!L313</f>
        <v>121.0355</v>
      </c>
      <c r="H247" s="239">
        <v>19.46</v>
      </c>
      <c r="I247" s="362">
        <f>ROUND(H247*($I$15/100+1),2)</f>
        <v>24.31</v>
      </c>
      <c r="J247" s="362">
        <f>ROUND(G247*I247,2)</f>
        <v>2942.37</v>
      </c>
      <c r="K247" s="237"/>
      <c r="L247" s="238"/>
      <c r="M247" s="19"/>
      <c r="N247" s="19"/>
      <c r="O247" s="19"/>
      <c r="P247" s="19"/>
      <c r="Q247" s="19"/>
    </row>
    <row r="248" spans="2:17" s="12" customFormat="1" ht="15.75">
      <c r="B248" s="571" t="s">
        <v>666</v>
      </c>
      <c r="C248" s="572" t="s">
        <v>766</v>
      </c>
      <c r="D248" s="573"/>
      <c r="E248" s="574"/>
      <c r="F248" s="575"/>
      <c r="G248" s="576"/>
      <c r="H248" s="577"/>
      <c r="I248" s="581"/>
      <c r="J248" s="582"/>
      <c r="K248" s="583"/>
      <c r="L248" s="580"/>
      <c r="M248" s="19"/>
      <c r="N248" s="19"/>
      <c r="O248" s="19"/>
      <c r="P248" s="19"/>
      <c r="Q248" s="19"/>
    </row>
    <row r="249" spans="2:17" s="12" customFormat="1" ht="30">
      <c r="B249" s="358" t="s">
        <v>924</v>
      </c>
      <c r="C249" s="463" t="s">
        <v>411</v>
      </c>
      <c r="D249" s="398" t="s">
        <v>42</v>
      </c>
      <c r="E249" s="277">
        <v>87881</v>
      </c>
      <c r="F249" s="277" t="s">
        <v>0</v>
      </c>
      <c r="G249" s="239">
        <f>'Memorial de Cálculo'!L318</f>
        <v>223.5476</v>
      </c>
      <c r="H249" s="472">
        <v>2.75</v>
      </c>
      <c r="I249" s="362">
        <f>ROUND(H249*($I$15/100+1),2)</f>
        <v>3.44</v>
      </c>
      <c r="J249" s="362">
        <f>ROUND(G249*I249,2)</f>
        <v>769</v>
      </c>
      <c r="K249" s="237"/>
      <c r="L249" s="238"/>
      <c r="M249" s="19"/>
      <c r="N249" s="19"/>
      <c r="O249" s="19"/>
      <c r="P249" s="19"/>
      <c r="Q249" s="19"/>
    </row>
    <row r="250" spans="2:17" s="12" customFormat="1" ht="30">
      <c r="B250" s="358" t="s">
        <v>925</v>
      </c>
      <c r="C250" s="397" t="s">
        <v>582</v>
      </c>
      <c r="D250" s="398" t="s">
        <v>42</v>
      </c>
      <c r="E250" s="462" t="s">
        <v>583</v>
      </c>
      <c r="F250" s="277" t="s">
        <v>0</v>
      </c>
      <c r="G250" s="239">
        <f>'Memorial de Cálculo'!L323</f>
        <v>313.927</v>
      </c>
      <c r="H250" s="239">
        <v>19.46</v>
      </c>
      <c r="I250" s="362">
        <f>ROUND(H250*($I$15/100+1),2)</f>
        <v>24.31</v>
      </c>
      <c r="J250" s="362">
        <f>ROUND(G250*I250,2)</f>
        <v>7631.57</v>
      </c>
      <c r="K250" s="237"/>
      <c r="L250" s="238"/>
      <c r="M250" s="19"/>
      <c r="N250" s="19"/>
      <c r="O250" s="19"/>
      <c r="P250" s="19"/>
      <c r="Q250" s="19"/>
    </row>
    <row r="251" spans="2:17" s="12" customFormat="1" ht="16.5" thickBot="1">
      <c r="B251" s="453" t="s">
        <v>1163</v>
      </c>
      <c r="C251" s="709" t="s">
        <v>1162</v>
      </c>
      <c r="D251" s="454" t="s">
        <v>46</v>
      </c>
      <c r="E251" s="752" t="s">
        <v>1060</v>
      </c>
      <c r="F251" s="454" t="s">
        <v>34</v>
      </c>
      <c r="G251" s="456">
        <f>'Memorial de Cálculo'!L326</f>
        <v>18.900000000000002</v>
      </c>
      <c r="H251" s="712">
        <v>52.43</v>
      </c>
      <c r="I251" s="458">
        <f>ROUND(H251*($I$15/100+1),2)</f>
        <v>65.5</v>
      </c>
      <c r="J251" s="458">
        <f>ROUND(G251*I251,2)</f>
        <v>1237.95</v>
      </c>
      <c r="K251" s="750"/>
      <c r="L251" s="751"/>
      <c r="M251" s="19"/>
      <c r="N251" s="19"/>
      <c r="O251" s="19"/>
      <c r="P251" s="19"/>
      <c r="Q251" s="19"/>
    </row>
    <row r="252" spans="2:17" s="12" customFormat="1" ht="16.5" thickBot="1">
      <c r="B252" s="568" t="s">
        <v>139</v>
      </c>
      <c r="C252" s="554" t="s">
        <v>11</v>
      </c>
      <c r="D252" s="555"/>
      <c r="E252" s="569"/>
      <c r="F252" s="556"/>
      <c r="G252" s="557"/>
      <c r="H252" s="557"/>
      <c r="I252" s="557"/>
      <c r="J252" s="558"/>
      <c r="K252" s="570">
        <f>SUM(J253:J263)</f>
        <v>73612.70999999999</v>
      </c>
      <c r="L252" s="560">
        <f>K252/$K$341</f>
        <v>0.08343403476660383</v>
      </c>
      <c r="M252" s="19"/>
      <c r="N252" s="19"/>
      <c r="O252" s="19"/>
      <c r="P252" s="19"/>
      <c r="Q252" s="19"/>
    </row>
    <row r="253" spans="2:17" s="12" customFormat="1" ht="30">
      <c r="B253" s="220" t="s">
        <v>667</v>
      </c>
      <c r="C253" s="399" t="s">
        <v>420</v>
      </c>
      <c r="D253" s="227" t="s">
        <v>42</v>
      </c>
      <c r="E253" s="360">
        <v>83534</v>
      </c>
      <c r="F253" s="216" t="s">
        <v>18</v>
      </c>
      <c r="G253" s="239">
        <f>'Memorial de Cálculo'!L361</f>
        <v>22.130500000000005</v>
      </c>
      <c r="H253" s="473">
        <v>391.2</v>
      </c>
      <c r="I253" s="362">
        <f>ROUND(H253*($I$15/100+1),2)</f>
        <v>488.73</v>
      </c>
      <c r="J253" s="362">
        <f>ROUND(G253*I253,2)</f>
        <v>10815.84</v>
      </c>
      <c r="K253" s="237"/>
      <c r="L253" s="238"/>
      <c r="M253" s="19"/>
      <c r="N253" s="19"/>
      <c r="O253" s="19"/>
      <c r="P253" s="19"/>
      <c r="Q253" s="19"/>
    </row>
    <row r="254" spans="2:17" s="12" customFormat="1" ht="30">
      <c r="B254" s="220" t="s">
        <v>668</v>
      </c>
      <c r="C254" s="399" t="s">
        <v>421</v>
      </c>
      <c r="D254" s="474" t="s">
        <v>46</v>
      </c>
      <c r="E254" s="475" t="s">
        <v>591</v>
      </c>
      <c r="F254" s="216" t="s">
        <v>0</v>
      </c>
      <c r="G254" s="239">
        <f>'Memorial de Cálculo'!L395</f>
        <v>316.15</v>
      </c>
      <c r="H254" s="473">
        <v>16.62</v>
      </c>
      <c r="I254" s="362">
        <f>ROUND(H254*($I$15/100+1),2)</f>
        <v>20.76</v>
      </c>
      <c r="J254" s="362">
        <f>ROUND(G254*I254,2)</f>
        <v>6563.27</v>
      </c>
      <c r="K254" s="476"/>
      <c r="L254" s="238"/>
      <c r="M254" s="19"/>
      <c r="N254" s="19"/>
      <c r="O254" s="19"/>
      <c r="P254" s="19"/>
      <c r="Q254" s="19"/>
    </row>
    <row r="255" spans="2:17" s="12" customFormat="1" ht="30">
      <c r="B255" s="220" t="s">
        <v>926</v>
      </c>
      <c r="C255" s="399" t="s">
        <v>527</v>
      </c>
      <c r="D255" s="474" t="s">
        <v>50</v>
      </c>
      <c r="E255" s="477" t="s">
        <v>592</v>
      </c>
      <c r="F255" s="216" t="s">
        <v>0</v>
      </c>
      <c r="G255" s="239">
        <f>'Memorial de Cálculo'!L429</f>
        <v>316.15</v>
      </c>
      <c r="H255" s="473">
        <v>89.64</v>
      </c>
      <c r="I255" s="362">
        <f>ROUND(H255*($I$15/100+1),2)</f>
        <v>111.99</v>
      </c>
      <c r="J255" s="362">
        <f>ROUND(G255*I255,2)</f>
        <v>35405.64</v>
      </c>
      <c r="K255" s="476"/>
      <c r="L255" s="238"/>
      <c r="M255" s="19"/>
      <c r="N255" s="19"/>
      <c r="O255" s="19"/>
      <c r="P255" s="19"/>
      <c r="Q255" s="19"/>
    </row>
    <row r="256" spans="2:17" s="12" customFormat="1" ht="15.75">
      <c r="B256" s="220" t="s">
        <v>927</v>
      </c>
      <c r="C256" s="399" t="s">
        <v>528</v>
      </c>
      <c r="D256" s="474" t="s">
        <v>50</v>
      </c>
      <c r="E256" s="477" t="s">
        <v>593</v>
      </c>
      <c r="F256" s="216" t="s">
        <v>0</v>
      </c>
      <c r="G256" s="239">
        <f>152.04*0.1</f>
        <v>15.204</v>
      </c>
      <c r="H256" s="473">
        <v>89.64</v>
      </c>
      <c r="I256" s="362">
        <f>ROUND(H256*($I$15/100+1),2)</f>
        <v>111.99</v>
      </c>
      <c r="J256" s="362">
        <f>ROUND(G256*I256,2)</f>
        <v>1702.7</v>
      </c>
      <c r="K256" s="476"/>
      <c r="L256" s="238"/>
      <c r="M256" s="19"/>
      <c r="N256" s="19"/>
      <c r="O256" s="19"/>
      <c r="P256" s="19"/>
      <c r="Q256" s="19"/>
    </row>
    <row r="257" spans="2:17" s="12" customFormat="1" ht="15.75">
      <c r="B257" s="220" t="s">
        <v>928</v>
      </c>
      <c r="C257" s="399" t="s">
        <v>1061</v>
      </c>
      <c r="D257" s="216" t="s">
        <v>46</v>
      </c>
      <c r="E257" s="475" t="s">
        <v>1060</v>
      </c>
      <c r="F257" s="216" t="s">
        <v>34</v>
      </c>
      <c r="G257" s="239">
        <f>'Memorial de Cálculo'!L457</f>
        <v>30.100000000000012</v>
      </c>
      <c r="H257" s="473">
        <v>52.43</v>
      </c>
      <c r="I257" s="362">
        <f>ROUND(H257*($I$15/100+1),2)</f>
        <v>65.5</v>
      </c>
      <c r="J257" s="362">
        <f>ROUND(G257*I257,2)</f>
        <v>1971.55</v>
      </c>
      <c r="K257" s="476"/>
      <c r="L257" s="238"/>
      <c r="M257" s="19"/>
      <c r="N257" s="19"/>
      <c r="O257" s="19"/>
      <c r="P257" s="19"/>
      <c r="Q257" s="19"/>
    </row>
    <row r="258" spans="2:17" s="12" customFormat="1" ht="15.75">
      <c r="B258" s="571" t="s">
        <v>929</v>
      </c>
      <c r="C258" s="572" t="s">
        <v>794</v>
      </c>
      <c r="D258" s="573"/>
      <c r="E258" s="574"/>
      <c r="F258" s="575"/>
      <c r="G258" s="576"/>
      <c r="H258" s="577"/>
      <c r="I258" s="581"/>
      <c r="J258" s="582"/>
      <c r="K258" s="583"/>
      <c r="L258" s="580"/>
      <c r="M258" s="19"/>
      <c r="N258" s="19"/>
      <c r="O258" s="19"/>
      <c r="P258" s="19"/>
      <c r="Q258" s="19"/>
    </row>
    <row r="259" spans="2:17" s="12" customFormat="1" ht="30">
      <c r="B259" s="220" t="s">
        <v>1119</v>
      </c>
      <c r="C259" s="399" t="s">
        <v>420</v>
      </c>
      <c r="D259" s="227" t="s">
        <v>42</v>
      </c>
      <c r="E259" s="360">
        <v>83534</v>
      </c>
      <c r="F259" s="216" t="s">
        <v>18</v>
      </c>
      <c r="G259" s="239">
        <f>'Memorial de Cálculo'!L461</f>
        <v>6.102600000000001</v>
      </c>
      <c r="H259" s="473">
        <v>391.2</v>
      </c>
      <c r="I259" s="362">
        <f>ROUND(H259*($I$15/100+1),2)</f>
        <v>488.73</v>
      </c>
      <c r="J259" s="362">
        <f>ROUND(G259*I259,2)</f>
        <v>2982.52</v>
      </c>
      <c r="K259" s="237"/>
      <c r="L259" s="238"/>
      <c r="M259" s="19"/>
      <c r="N259" s="19"/>
      <c r="O259" s="19"/>
      <c r="P259" s="19"/>
      <c r="Q259" s="19"/>
    </row>
    <row r="260" spans="2:17" s="12" customFormat="1" ht="30">
      <c r="B260" s="220" t="s">
        <v>1120</v>
      </c>
      <c r="C260" s="399" t="s">
        <v>421</v>
      </c>
      <c r="D260" s="474" t="s">
        <v>46</v>
      </c>
      <c r="E260" s="475" t="s">
        <v>591</v>
      </c>
      <c r="F260" s="216" t="s">
        <v>0</v>
      </c>
      <c r="G260" s="239">
        <f>'Memorial de Cálculo'!L464</f>
        <v>87.18</v>
      </c>
      <c r="H260" s="473">
        <v>16.62</v>
      </c>
      <c r="I260" s="362">
        <f>ROUND(H260*($I$15/100+1),2)</f>
        <v>20.76</v>
      </c>
      <c r="J260" s="362">
        <f>ROUND(G260*I260,2)</f>
        <v>1809.86</v>
      </c>
      <c r="K260" s="476"/>
      <c r="L260" s="238"/>
      <c r="M260" s="19"/>
      <c r="N260" s="19"/>
      <c r="O260" s="19"/>
      <c r="P260" s="19"/>
      <c r="Q260" s="19"/>
    </row>
    <row r="261" spans="2:17" s="12" customFormat="1" ht="30">
      <c r="B261" s="220" t="s">
        <v>1121</v>
      </c>
      <c r="C261" s="399" t="s">
        <v>527</v>
      </c>
      <c r="D261" s="474" t="s">
        <v>50</v>
      </c>
      <c r="E261" s="477" t="s">
        <v>592</v>
      </c>
      <c r="F261" s="216" t="s">
        <v>0</v>
      </c>
      <c r="G261" s="239">
        <f>'Memorial de Cálculo'!L467</f>
        <v>87.18</v>
      </c>
      <c r="H261" s="473">
        <v>89.64</v>
      </c>
      <c r="I261" s="362">
        <f>ROUND(H261*($I$15/100+1),2)</f>
        <v>111.99</v>
      </c>
      <c r="J261" s="362">
        <f>ROUND(G261*I261,2)</f>
        <v>9763.29</v>
      </c>
      <c r="K261" s="476"/>
      <c r="L261" s="238"/>
      <c r="M261" s="19"/>
      <c r="N261" s="19"/>
      <c r="O261" s="19"/>
      <c r="P261" s="19"/>
      <c r="Q261" s="19"/>
    </row>
    <row r="262" spans="2:17" s="12" customFormat="1" ht="15.75">
      <c r="B262" s="220" t="s">
        <v>1122</v>
      </c>
      <c r="C262" s="709" t="s">
        <v>528</v>
      </c>
      <c r="D262" s="710" t="s">
        <v>50</v>
      </c>
      <c r="E262" s="711" t="s">
        <v>593</v>
      </c>
      <c r="F262" s="454" t="s">
        <v>0</v>
      </c>
      <c r="G262" s="456">
        <f>'Memorial de Cálculo'!L470</f>
        <v>12.299999999999999</v>
      </c>
      <c r="H262" s="712">
        <v>89.64</v>
      </c>
      <c r="I262" s="458">
        <f>ROUND(H262*($I$15/100+1),2)</f>
        <v>111.99</v>
      </c>
      <c r="J262" s="458">
        <f>ROUND(G262*I262,2)</f>
        <v>1377.48</v>
      </c>
      <c r="K262" s="707"/>
      <c r="L262" s="469"/>
      <c r="M262" s="19"/>
      <c r="N262" s="19"/>
      <c r="O262" s="19"/>
      <c r="P262" s="19"/>
      <c r="Q262" s="19"/>
    </row>
    <row r="263" spans="2:17" s="12" customFormat="1" ht="45.75" thickBot="1">
      <c r="B263" s="708" t="s">
        <v>1170</v>
      </c>
      <c r="C263" s="709" t="s">
        <v>1171</v>
      </c>
      <c r="D263" s="710" t="s">
        <v>42</v>
      </c>
      <c r="E263" s="711" t="s">
        <v>1172</v>
      </c>
      <c r="F263" s="454" t="s">
        <v>0</v>
      </c>
      <c r="G263" s="456">
        <f>'Memorial de Cálculo'!L473</f>
        <v>28.28</v>
      </c>
      <c r="H263" s="712">
        <v>34.55</v>
      </c>
      <c r="I263" s="456">
        <f>ROUND(H263*($I$15/100+1),2)</f>
        <v>43.16</v>
      </c>
      <c r="J263" s="456">
        <f>ROUND(G263*I263,2)</f>
        <v>1220.56</v>
      </c>
      <c r="K263" s="594"/>
      <c r="L263" s="469"/>
      <c r="M263" s="19"/>
      <c r="N263" s="19"/>
      <c r="O263" s="19"/>
      <c r="P263" s="19"/>
      <c r="Q263" s="19"/>
    </row>
    <row r="264" spans="2:17" s="12" customFormat="1" ht="16.5" thickBot="1">
      <c r="B264" s="568" t="s">
        <v>140</v>
      </c>
      <c r="C264" s="554" t="s">
        <v>694</v>
      </c>
      <c r="D264" s="555"/>
      <c r="E264" s="569"/>
      <c r="F264" s="556"/>
      <c r="G264" s="557"/>
      <c r="H264" s="557"/>
      <c r="I264" s="557"/>
      <c r="J264" s="558"/>
      <c r="K264" s="570">
        <f>SUM(J265:J268)</f>
        <v>13716.169999999998</v>
      </c>
      <c r="L264" s="560">
        <f>K264/$K$341</f>
        <v>0.01554616593580984</v>
      </c>
      <c r="M264" s="19"/>
      <c r="N264" s="19"/>
      <c r="O264" s="19"/>
      <c r="P264" s="19"/>
      <c r="Q264" s="19"/>
    </row>
    <row r="265" spans="2:17" s="12" customFormat="1" ht="15.75">
      <c r="B265" s="216" t="s">
        <v>669</v>
      </c>
      <c r="C265" s="470" t="s">
        <v>535</v>
      </c>
      <c r="D265" s="243" t="s">
        <v>42</v>
      </c>
      <c r="E265" s="243">
        <v>72118</v>
      </c>
      <c r="F265" s="216" t="s">
        <v>0</v>
      </c>
      <c r="G265" s="467">
        <f>'Memorial de Cálculo'!L479</f>
        <v>44.370000000000005</v>
      </c>
      <c r="H265" s="468">
        <v>154.16</v>
      </c>
      <c r="I265" s="362">
        <f>ROUND(H265*($I$15/100+1),2)</f>
        <v>192.59</v>
      </c>
      <c r="J265" s="362">
        <f>ROUND(G265*I265,2)</f>
        <v>8545.22</v>
      </c>
      <c r="K265" s="237"/>
      <c r="L265" s="469"/>
      <c r="M265" s="19"/>
      <c r="N265" s="19"/>
      <c r="O265" s="19"/>
      <c r="P265" s="19"/>
      <c r="Q265" s="19"/>
    </row>
    <row r="266" spans="2:17" s="12" customFormat="1" ht="30">
      <c r="B266" s="216" t="s">
        <v>670</v>
      </c>
      <c r="C266" s="470" t="s">
        <v>536</v>
      </c>
      <c r="D266" s="243" t="s">
        <v>42</v>
      </c>
      <c r="E266" s="243">
        <v>72120</v>
      </c>
      <c r="F266" s="216" t="s">
        <v>0</v>
      </c>
      <c r="G266" s="467">
        <f>'Memorial de Cálculo'!L483</f>
        <v>3.75</v>
      </c>
      <c r="H266" s="468">
        <v>249.1</v>
      </c>
      <c r="I266" s="362">
        <f>ROUND(H266*($I$15/100+1),2)</f>
        <v>311.2</v>
      </c>
      <c r="J266" s="362">
        <f>ROUND(G266*I266,2)</f>
        <v>1167</v>
      </c>
      <c r="K266" s="237"/>
      <c r="L266" s="469"/>
      <c r="M266" s="19"/>
      <c r="N266" s="19"/>
      <c r="O266" s="19"/>
      <c r="P266" s="19"/>
      <c r="Q266" s="19"/>
    </row>
    <row r="267" spans="2:17" s="12" customFormat="1" ht="15.75">
      <c r="B267" s="571" t="s">
        <v>671</v>
      </c>
      <c r="C267" s="572" t="s">
        <v>794</v>
      </c>
      <c r="D267" s="573"/>
      <c r="E267" s="574"/>
      <c r="F267" s="575"/>
      <c r="G267" s="576"/>
      <c r="H267" s="577"/>
      <c r="I267" s="581"/>
      <c r="J267" s="582"/>
      <c r="K267" s="583"/>
      <c r="L267" s="580"/>
      <c r="M267" s="19"/>
      <c r="N267" s="19"/>
      <c r="O267" s="19"/>
      <c r="P267" s="19"/>
      <c r="Q267" s="19"/>
    </row>
    <row r="268" spans="2:17" s="12" customFormat="1" ht="16.5" thickBot="1">
      <c r="B268" s="454" t="s">
        <v>930</v>
      </c>
      <c r="C268" s="470" t="s">
        <v>535</v>
      </c>
      <c r="D268" s="765" t="s">
        <v>42</v>
      </c>
      <c r="E268" s="765">
        <v>72118</v>
      </c>
      <c r="F268" s="454" t="s">
        <v>0</v>
      </c>
      <c r="G268" s="766">
        <f>'Memorial de Cálculo'!L488</f>
        <v>20.790000000000006</v>
      </c>
      <c r="H268" s="767">
        <v>154.16</v>
      </c>
      <c r="I268" s="456">
        <f>ROUND(H268*($I$15/100+1),2)</f>
        <v>192.59</v>
      </c>
      <c r="J268" s="456">
        <f>ROUND(G268*I268,2)</f>
        <v>4003.95</v>
      </c>
      <c r="K268" s="594"/>
      <c r="L268" s="469"/>
      <c r="M268" s="19"/>
      <c r="N268" s="19"/>
      <c r="O268" s="19"/>
      <c r="P268" s="19"/>
      <c r="Q268" s="19"/>
    </row>
    <row r="269" spans="2:17" s="12" customFormat="1" ht="16.5" thickBot="1">
      <c r="B269" s="568" t="s">
        <v>576</v>
      </c>
      <c r="C269" s="554" t="s">
        <v>12</v>
      </c>
      <c r="D269" s="555"/>
      <c r="E269" s="569"/>
      <c r="F269" s="556"/>
      <c r="G269" s="557"/>
      <c r="H269" s="557"/>
      <c r="I269" s="557"/>
      <c r="J269" s="558"/>
      <c r="K269" s="570">
        <f>SUM(J270:J286)</f>
        <v>52948.23999999999</v>
      </c>
      <c r="L269" s="560">
        <f>K269/$K$341</f>
        <v>0.06001253447931048</v>
      </c>
      <c r="M269" s="19"/>
      <c r="N269" s="19"/>
      <c r="O269" s="19"/>
      <c r="P269" s="19"/>
      <c r="Q269" s="19"/>
    </row>
    <row r="270" spans="2:17" s="12" customFormat="1" ht="15.75">
      <c r="B270" s="203" t="s">
        <v>672</v>
      </c>
      <c r="C270" s="242" t="s">
        <v>537</v>
      </c>
      <c r="D270" s="244" t="s">
        <v>42</v>
      </c>
      <c r="E270" s="244">
        <v>88415</v>
      </c>
      <c r="F270" s="241" t="s">
        <v>0</v>
      </c>
      <c r="G270" s="246">
        <f>'Memorial de Cálculo'!L526</f>
        <v>1207.4615000000003</v>
      </c>
      <c r="H270" s="391">
        <v>1.7</v>
      </c>
      <c r="I270" s="202">
        <f>ROUND(H270*($I$15/100+1),2)</f>
        <v>2.12</v>
      </c>
      <c r="J270" s="202">
        <f>ROUND(G270*I270,2)</f>
        <v>2559.82</v>
      </c>
      <c r="K270" s="211"/>
      <c r="L270" s="207"/>
      <c r="M270" s="19"/>
      <c r="N270" s="19"/>
      <c r="O270" s="19"/>
      <c r="P270" s="19"/>
      <c r="Q270" s="19"/>
    </row>
    <row r="271" spans="2:17" s="12" customFormat="1" ht="15.75">
      <c r="B271" s="203" t="s">
        <v>673</v>
      </c>
      <c r="C271" s="385" t="s">
        <v>538</v>
      </c>
      <c r="D271" s="244" t="s">
        <v>42</v>
      </c>
      <c r="E271" s="386">
        <v>88497</v>
      </c>
      <c r="F271" s="241" t="s">
        <v>0</v>
      </c>
      <c r="G271" s="384">
        <f>'Memorial de Cálculo'!L551</f>
        <v>710.7000000000002</v>
      </c>
      <c r="H271" s="391">
        <v>8.58</v>
      </c>
      <c r="I271" s="202">
        <f aca="true" t="shared" si="20" ref="I271:I276">ROUND(H271*($I$15/100+1),2)</f>
        <v>10.72</v>
      </c>
      <c r="J271" s="202">
        <f aca="true" t="shared" si="21" ref="J271:J276">ROUND(G271*I271,2)</f>
        <v>7618.7</v>
      </c>
      <c r="K271" s="211"/>
      <c r="L271" s="207"/>
      <c r="M271" s="19"/>
      <c r="N271" s="19"/>
      <c r="O271" s="19"/>
      <c r="P271" s="19"/>
      <c r="Q271" s="19"/>
    </row>
    <row r="272" spans="2:17" s="12" customFormat="1" ht="30">
      <c r="B272" s="203" t="s">
        <v>674</v>
      </c>
      <c r="C272" s="461" t="s">
        <v>1160</v>
      </c>
      <c r="D272" s="243" t="s">
        <v>46</v>
      </c>
      <c r="E272" s="243" t="s">
        <v>1161</v>
      </c>
      <c r="F272" s="277" t="s">
        <v>0</v>
      </c>
      <c r="G272" s="732">
        <f>'Memorial de Cálculo'!L576</f>
        <v>710.7000000000002</v>
      </c>
      <c r="H272" s="733">
        <v>11.3</v>
      </c>
      <c r="I272" s="202">
        <f t="shared" si="20"/>
        <v>14.12</v>
      </c>
      <c r="J272" s="202">
        <f t="shared" si="21"/>
        <v>10035.08</v>
      </c>
      <c r="K272" s="211"/>
      <c r="L272" s="207"/>
      <c r="M272" s="19"/>
      <c r="N272" s="19"/>
      <c r="O272" s="19"/>
      <c r="P272" s="19"/>
      <c r="Q272" s="19"/>
    </row>
    <row r="273" spans="2:17" s="12" customFormat="1" ht="15.75">
      <c r="B273" s="203" t="s">
        <v>675</v>
      </c>
      <c r="C273" s="734" t="s">
        <v>540</v>
      </c>
      <c r="D273" s="243" t="s">
        <v>42</v>
      </c>
      <c r="E273" s="390">
        <v>88482</v>
      </c>
      <c r="F273" s="277" t="s">
        <v>0</v>
      </c>
      <c r="G273" s="732">
        <f>'Memorial de Cálculo'!L597</f>
        <v>148.76</v>
      </c>
      <c r="H273" s="733">
        <v>1.66</v>
      </c>
      <c r="I273" s="202">
        <f t="shared" si="20"/>
        <v>2.07</v>
      </c>
      <c r="J273" s="202">
        <f t="shared" si="21"/>
        <v>307.93</v>
      </c>
      <c r="K273" s="211"/>
      <c r="L273" s="207"/>
      <c r="M273" s="19"/>
      <c r="N273" s="19"/>
      <c r="O273" s="19"/>
      <c r="P273" s="19"/>
      <c r="Q273" s="19"/>
    </row>
    <row r="274" spans="2:17" ht="18" customHeight="1">
      <c r="B274" s="203" t="s">
        <v>676</v>
      </c>
      <c r="C274" s="734" t="s">
        <v>541</v>
      </c>
      <c r="D274" s="243" t="s">
        <v>42</v>
      </c>
      <c r="E274" s="390">
        <v>88496</v>
      </c>
      <c r="F274" s="277" t="s">
        <v>0</v>
      </c>
      <c r="G274" s="362">
        <f>'Memorial de Cálculo'!L621</f>
        <v>253.16999999999996</v>
      </c>
      <c r="H274" s="733">
        <v>14.57</v>
      </c>
      <c r="I274" s="202">
        <f t="shared" si="20"/>
        <v>18.2</v>
      </c>
      <c r="J274" s="202">
        <f t="shared" si="21"/>
        <v>4607.69</v>
      </c>
      <c r="K274" s="211"/>
      <c r="L274" s="207"/>
      <c r="M274" s="19"/>
      <c r="N274" s="19"/>
      <c r="O274" s="19"/>
      <c r="P274" s="19"/>
      <c r="Q274" s="19"/>
    </row>
    <row r="275" spans="2:17" ht="30">
      <c r="B275" s="203" t="s">
        <v>677</v>
      </c>
      <c r="C275" s="734" t="s">
        <v>542</v>
      </c>
      <c r="D275" s="243" t="s">
        <v>42</v>
      </c>
      <c r="E275" s="390">
        <v>88486</v>
      </c>
      <c r="F275" s="277" t="s">
        <v>0</v>
      </c>
      <c r="G275" s="362">
        <f>'Memorial de Cálculo'!L645</f>
        <v>253.16999999999996</v>
      </c>
      <c r="H275" s="732">
        <v>7.19</v>
      </c>
      <c r="I275" s="202">
        <f t="shared" si="20"/>
        <v>8.98</v>
      </c>
      <c r="J275" s="202">
        <f t="shared" si="21"/>
        <v>2273.47</v>
      </c>
      <c r="K275" s="211"/>
      <c r="L275" s="207"/>
      <c r="M275" s="19"/>
      <c r="N275" s="19"/>
      <c r="O275" s="19"/>
      <c r="P275" s="19"/>
      <c r="Q275" s="19"/>
    </row>
    <row r="276" spans="2:17" ht="30">
      <c r="B276" s="203" t="s">
        <v>678</v>
      </c>
      <c r="C276" s="461" t="s">
        <v>543</v>
      </c>
      <c r="D276" s="243" t="s">
        <v>42</v>
      </c>
      <c r="E276" s="721">
        <v>88431</v>
      </c>
      <c r="F276" s="216" t="s">
        <v>0</v>
      </c>
      <c r="G276" s="239">
        <f>'Memorial de Cálculo'!L658</f>
        <v>496.7615</v>
      </c>
      <c r="H276" s="468">
        <v>13.83</v>
      </c>
      <c r="I276" s="202">
        <f t="shared" si="20"/>
        <v>17.28</v>
      </c>
      <c r="J276" s="202">
        <f t="shared" si="21"/>
        <v>8584.04</v>
      </c>
      <c r="K276" s="211"/>
      <c r="L276" s="207"/>
      <c r="M276" s="19"/>
      <c r="N276" s="19"/>
      <c r="O276" s="19"/>
      <c r="P276" s="19"/>
      <c r="Q276" s="19"/>
    </row>
    <row r="277" spans="2:17" ht="29.25" customHeight="1">
      <c r="B277" s="203" t="s">
        <v>934</v>
      </c>
      <c r="C277" s="324" t="s">
        <v>1077</v>
      </c>
      <c r="D277" s="243" t="s">
        <v>42</v>
      </c>
      <c r="E277" s="387" t="s">
        <v>1076</v>
      </c>
      <c r="F277" s="203" t="s">
        <v>0</v>
      </c>
      <c r="G277" s="204">
        <f>'Memorial de Cálculo'!L667</f>
        <v>49.64000000000001</v>
      </c>
      <c r="H277" s="205">
        <v>16.49</v>
      </c>
      <c r="I277" s="202">
        <f>ROUND(H277*($I$15/100+1),2)</f>
        <v>20.6</v>
      </c>
      <c r="J277" s="202">
        <f>ROUND(G277*I277,2)</f>
        <v>1022.58</v>
      </c>
      <c r="K277" s="211"/>
      <c r="L277" s="207"/>
      <c r="M277" s="19"/>
      <c r="N277" s="19"/>
      <c r="O277" s="19"/>
      <c r="P277" s="19"/>
      <c r="Q277" s="19"/>
    </row>
    <row r="278" spans="2:17" ht="18" customHeight="1">
      <c r="B278" s="571" t="s">
        <v>935</v>
      </c>
      <c r="C278" s="572" t="s">
        <v>766</v>
      </c>
      <c r="D278" s="573"/>
      <c r="E278" s="574"/>
      <c r="F278" s="575"/>
      <c r="G278" s="576"/>
      <c r="H278" s="577"/>
      <c r="I278" s="581"/>
      <c r="J278" s="582"/>
      <c r="K278" s="583"/>
      <c r="L278" s="580"/>
      <c r="M278" s="19"/>
      <c r="N278" s="19"/>
      <c r="O278" s="19"/>
      <c r="P278" s="19"/>
      <c r="Q278" s="19"/>
    </row>
    <row r="279" spans="2:17" ht="18" customHeight="1">
      <c r="B279" s="203" t="s">
        <v>936</v>
      </c>
      <c r="C279" s="242" t="s">
        <v>537</v>
      </c>
      <c r="D279" s="244" t="s">
        <v>42</v>
      </c>
      <c r="E279" s="244">
        <v>88415</v>
      </c>
      <c r="F279" s="241" t="s">
        <v>0</v>
      </c>
      <c r="G279" s="246">
        <f>'Memorial de Cálculo'!L674</f>
        <v>577.4824</v>
      </c>
      <c r="H279" s="391">
        <v>1.7</v>
      </c>
      <c r="I279" s="202">
        <f>ROUND(H279*($I$15/100+1),2)</f>
        <v>2.12</v>
      </c>
      <c r="J279" s="202">
        <f>ROUND(G279*I279,2)</f>
        <v>1224.26</v>
      </c>
      <c r="K279" s="211"/>
      <c r="L279" s="207"/>
      <c r="M279" s="19"/>
      <c r="N279" s="19"/>
      <c r="O279" s="19"/>
      <c r="P279" s="19"/>
      <c r="Q279" s="19"/>
    </row>
    <row r="280" spans="2:17" ht="15.75">
      <c r="B280" s="203" t="s">
        <v>937</v>
      </c>
      <c r="C280" s="385" t="s">
        <v>538</v>
      </c>
      <c r="D280" s="244" t="s">
        <v>42</v>
      </c>
      <c r="E280" s="386">
        <v>88497</v>
      </c>
      <c r="F280" s="241" t="s">
        <v>0</v>
      </c>
      <c r="G280" s="384">
        <f>'Memorial de Cálculo'!L677</f>
        <v>261</v>
      </c>
      <c r="H280" s="391">
        <v>8.58</v>
      </c>
      <c r="I280" s="202">
        <f aca="true" t="shared" si="22" ref="I280:I285">ROUND(H280*($I$15/100+1),2)</f>
        <v>10.72</v>
      </c>
      <c r="J280" s="202">
        <f aca="true" t="shared" si="23" ref="J280:J285">ROUND(G280*I280,2)</f>
        <v>2797.92</v>
      </c>
      <c r="K280" s="211"/>
      <c r="L280" s="207"/>
      <c r="M280" s="19"/>
      <c r="N280" s="19"/>
      <c r="O280" s="19"/>
      <c r="P280" s="19"/>
      <c r="Q280" s="19"/>
    </row>
    <row r="281" spans="2:17" ht="30">
      <c r="B281" s="203" t="s">
        <v>938</v>
      </c>
      <c r="C281" s="461" t="s">
        <v>1160</v>
      </c>
      <c r="D281" s="243" t="s">
        <v>46</v>
      </c>
      <c r="E281" s="243" t="s">
        <v>1161</v>
      </c>
      <c r="F281" s="277" t="s">
        <v>0</v>
      </c>
      <c r="G281" s="732">
        <f>'Memorial de Cálculo'!L680</f>
        <v>261</v>
      </c>
      <c r="H281" s="733">
        <v>11.3</v>
      </c>
      <c r="I281" s="202">
        <f t="shared" si="22"/>
        <v>14.12</v>
      </c>
      <c r="J281" s="202">
        <f t="shared" si="23"/>
        <v>3685.32</v>
      </c>
      <c r="K281" s="211"/>
      <c r="L281" s="207"/>
      <c r="M281" s="19"/>
      <c r="N281" s="19"/>
      <c r="O281" s="19"/>
      <c r="P281" s="19"/>
      <c r="Q281" s="19"/>
    </row>
    <row r="282" spans="2:17" ht="15.75">
      <c r="B282" s="203" t="s">
        <v>939</v>
      </c>
      <c r="C282" s="388" t="s">
        <v>540</v>
      </c>
      <c r="D282" s="244" t="s">
        <v>42</v>
      </c>
      <c r="E282" s="389">
        <v>88482</v>
      </c>
      <c r="F282" s="241" t="s">
        <v>0</v>
      </c>
      <c r="G282" s="384">
        <f>'Memorial de Cálculo'!L683</f>
        <v>87.18</v>
      </c>
      <c r="H282" s="391">
        <v>1.66</v>
      </c>
      <c r="I282" s="202">
        <f t="shared" si="22"/>
        <v>2.07</v>
      </c>
      <c r="J282" s="202">
        <f t="shared" si="23"/>
        <v>180.46</v>
      </c>
      <c r="K282" s="211"/>
      <c r="L282" s="207"/>
      <c r="M282" s="19"/>
      <c r="N282" s="19"/>
      <c r="O282" s="19"/>
      <c r="P282" s="19"/>
      <c r="Q282" s="19"/>
    </row>
    <row r="283" spans="2:17" ht="15.75">
      <c r="B283" s="203" t="s">
        <v>940</v>
      </c>
      <c r="C283" s="388" t="s">
        <v>541</v>
      </c>
      <c r="D283" s="243" t="s">
        <v>42</v>
      </c>
      <c r="E283" s="390">
        <v>88496</v>
      </c>
      <c r="F283" s="241" t="s">
        <v>0</v>
      </c>
      <c r="G283" s="202">
        <f>'Memorial de Cálculo'!L686</f>
        <v>87.18</v>
      </c>
      <c r="H283" s="391">
        <v>14.57</v>
      </c>
      <c r="I283" s="202">
        <f t="shared" si="22"/>
        <v>18.2</v>
      </c>
      <c r="J283" s="202">
        <f t="shared" si="23"/>
        <v>1586.68</v>
      </c>
      <c r="K283" s="211"/>
      <c r="L283" s="207"/>
      <c r="M283" s="19"/>
      <c r="N283" s="19"/>
      <c r="O283" s="19"/>
      <c r="P283" s="19"/>
      <c r="Q283" s="19"/>
    </row>
    <row r="284" spans="2:17" ht="30">
      <c r="B284" s="203" t="s">
        <v>941</v>
      </c>
      <c r="C284" s="388" t="s">
        <v>542</v>
      </c>
      <c r="D284" s="243" t="s">
        <v>42</v>
      </c>
      <c r="E284" s="390">
        <v>88486</v>
      </c>
      <c r="F284" s="241" t="s">
        <v>0</v>
      </c>
      <c r="G284" s="202">
        <f>'Memorial de Cálculo'!L689</f>
        <v>87.18</v>
      </c>
      <c r="H284" s="384">
        <v>7.19</v>
      </c>
      <c r="I284" s="202">
        <f t="shared" si="22"/>
        <v>8.98</v>
      </c>
      <c r="J284" s="202">
        <f t="shared" si="23"/>
        <v>782.88</v>
      </c>
      <c r="K284" s="211"/>
      <c r="L284" s="207"/>
      <c r="M284" s="19"/>
      <c r="N284" s="19"/>
      <c r="O284" s="19"/>
      <c r="P284" s="19"/>
      <c r="Q284" s="19"/>
    </row>
    <row r="285" spans="2:17" ht="30">
      <c r="B285" s="203" t="s">
        <v>942</v>
      </c>
      <c r="C285" s="328" t="s">
        <v>543</v>
      </c>
      <c r="D285" s="244" t="s">
        <v>42</v>
      </c>
      <c r="E285" s="387">
        <v>88431</v>
      </c>
      <c r="F285" s="203" t="s">
        <v>0</v>
      </c>
      <c r="G285" s="204">
        <f>'Memorial de Cálculo'!L694</f>
        <v>316.4824</v>
      </c>
      <c r="H285" s="246">
        <v>13.83</v>
      </c>
      <c r="I285" s="202">
        <f t="shared" si="22"/>
        <v>17.28</v>
      </c>
      <c r="J285" s="202">
        <f t="shared" si="23"/>
        <v>5468.82</v>
      </c>
      <c r="K285" s="211"/>
      <c r="L285" s="207"/>
      <c r="M285" s="19"/>
      <c r="N285" s="19"/>
      <c r="O285" s="19"/>
      <c r="P285" s="19"/>
      <c r="Q285" s="19"/>
    </row>
    <row r="286" spans="2:17" ht="30.75" thickBot="1">
      <c r="B286" s="203" t="s">
        <v>943</v>
      </c>
      <c r="C286" s="324" t="s">
        <v>1077</v>
      </c>
      <c r="D286" s="243" t="s">
        <v>42</v>
      </c>
      <c r="E286" s="387" t="s">
        <v>1076</v>
      </c>
      <c r="F286" s="203" t="s">
        <v>0</v>
      </c>
      <c r="G286" s="204">
        <f>'Memorial de Cálculo'!L698</f>
        <v>10.32</v>
      </c>
      <c r="H286" s="205">
        <v>16.49</v>
      </c>
      <c r="I286" s="202">
        <f>ROUND(H286*($I$15/100+1),2)</f>
        <v>20.6</v>
      </c>
      <c r="J286" s="202">
        <f>ROUND(G286*I286,2)</f>
        <v>212.59</v>
      </c>
      <c r="K286" s="211"/>
      <c r="L286" s="207"/>
      <c r="M286" s="19"/>
      <c r="N286" s="19"/>
      <c r="O286" s="19"/>
      <c r="P286" s="19"/>
      <c r="Q286" s="19"/>
    </row>
    <row r="287" spans="2:17" ht="16.5" thickBot="1">
      <c r="B287" s="568" t="s">
        <v>679</v>
      </c>
      <c r="C287" s="554" t="s">
        <v>453</v>
      </c>
      <c r="D287" s="555"/>
      <c r="E287" s="569"/>
      <c r="F287" s="556"/>
      <c r="G287" s="557"/>
      <c r="H287" s="557"/>
      <c r="I287" s="557"/>
      <c r="J287" s="558"/>
      <c r="K287" s="570">
        <f>SUM(J288:J302)</f>
        <v>4765.63</v>
      </c>
      <c r="L287" s="560">
        <f>K287/$K$341</f>
        <v>0.005401454981140761</v>
      </c>
      <c r="M287" s="19"/>
      <c r="N287" s="19"/>
      <c r="O287" s="19"/>
      <c r="P287" s="19"/>
      <c r="Q287" s="19"/>
    </row>
    <row r="288" spans="2:17" ht="30">
      <c r="B288" s="277" t="s">
        <v>680</v>
      </c>
      <c r="C288" s="714" t="s">
        <v>420</v>
      </c>
      <c r="D288" s="398" t="s">
        <v>42</v>
      </c>
      <c r="E288" s="612">
        <v>83534</v>
      </c>
      <c r="F288" s="277" t="s">
        <v>0</v>
      </c>
      <c r="G288" s="362">
        <f>3.12*0.07</f>
        <v>0.21840000000000004</v>
      </c>
      <c r="H288" s="362">
        <v>391.2</v>
      </c>
      <c r="I288" s="362">
        <f>ROUND(H288*($I$15/100+1),2)</f>
        <v>488.73</v>
      </c>
      <c r="J288" s="362">
        <f aca="true" t="shared" si="24" ref="J288:J293">ROUND(G288*I288,2)</f>
        <v>106.74</v>
      </c>
      <c r="K288" s="730"/>
      <c r="L288" s="375"/>
      <c r="M288" s="19"/>
      <c r="N288" s="19"/>
      <c r="O288" s="19"/>
      <c r="P288" s="19"/>
      <c r="Q288" s="19"/>
    </row>
    <row r="289" spans="2:17" ht="15.75">
      <c r="B289" s="216" t="s">
        <v>681</v>
      </c>
      <c r="C289" s="397" t="s">
        <v>436</v>
      </c>
      <c r="D289" s="398" t="s">
        <v>130</v>
      </c>
      <c r="E289" s="478"/>
      <c r="F289" s="216" t="s">
        <v>0</v>
      </c>
      <c r="G289" s="239" t="s">
        <v>444</v>
      </c>
      <c r="H289" s="239">
        <f>'Composições de Custo'!I257</f>
        <v>36.44</v>
      </c>
      <c r="I289" s="362">
        <f aca="true" t="shared" si="25" ref="I289:I302">ROUND(H289*($I$15/100+1),2)</f>
        <v>45.52</v>
      </c>
      <c r="J289" s="239">
        <f t="shared" si="24"/>
        <v>584.48</v>
      </c>
      <c r="K289" s="248"/>
      <c r="L289" s="238"/>
      <c r="M289" s="19"/>
      <c r="N289" s="19"/>
      <c r="O289" s="19"/>
      <c r="P289" s="19"/>
      <c r="Q289" s="19"/>
    </row>
    <row r="290" spans="2:17" ht="30">
      <c r="B290" s="216" t="s">
        <v>682</v>
      </c>
      <c r="C290" s="397" t="s">
        <v>410</v>
      </c>
      <c r="D290" s="398" t="s">
        <v>42</v>
      </c>
      <c r="E290" s="478" t="s">
        <v>413</v>
      </c>
      <c r="F290" s="216" t="s">
        <v>0</v>
      </c>
      <c r="G290" s="239" t="s">
        <v>445</v>
      </c>
      <c r="H290" s="239">
        <v>2.95</v>
      </c>
      <c r="I290" s="362">
        <f t="shared" si="25"/>
        <v>3.69</v>
      </c>
      <c r="J290" s="239">
        <f t="shared" si="24"/>
        <v>71.22</v>
      </c>
      <c r="K290" s="248"/>
      <c r="L290" s="238"/>
      <c r="M290" s="19"/>
      <c r="N290" s="19"/>
      <c r="O290" s="19"/>
      <c r="P290" s="19"/>
      <c r="Q290" s="19"/>
    </row>
    <row r="291" spans="2:17" ht="30">
      <c r="B291" s="216" t="s">
        <v>683</v>
      </c>
      <c r="C291" s="397" t="s">
        <v>1156</v>
      </c>
      <c r="D291" s="398" t="s">
        <v>42</v>
      </c>
      <c r="E291" s="216">
        <v>87535</v>
      </c>
      <c r="F291" s="216" t="s">
        <v>0</v>
      </c>
      <c r="G291" s="239" t="s">
        <v>446</v>
      </c>
      <c r="H291" s="239">
        <v>16.25</v>
      </c>
      <c r="I291" s="362">
        <f t="shared" si="25"/>
        <v>20.3</v>
      </c>
      <c r="J291" s="239">
        <f t="shared" si="24"/>
        <v>102.72</v>
      </c>
      <c r="K291" s="248"/>
      <c r="L291" s="238"/>
      <c r="M291" s="19"/>
      <c r="N291" s="19"/>
      <c r="O291" s="19"/>
      <c r="P291" s="19"/>
      <c r="Q291" s="19"/>
    </row>
    <row r="292" spans="2:17" ht="30">
      <c r="B292" s="216" t="s">
        <v>684</v>
      </c>
      <c r="C292" s="397" t="s">
        <v>582</v>
      </c>
      <c r="D292" s="398" t="s">
        <v>42</v>
      </c>
      <c r="E292" s="462" t="s">
        <v>583</v>
      </c>
      <c r="F292" s="216" t="s">
        <v>0</v>
      </c>
      <c r="G292" s="239" t="s">
        <v>447</v>
      </c>
      <c r="H292" s="239">
        <v>19.46</v>
      </c>
      <c r="I292" s="362">
        <f t="shared" si="25"/>
        <v>24.31</v>
      </c>
      <c r="J292" s="239">
        <f t="shared" si="24"/>
        <v>346.17</v>
      </c>
      <c r="K292" s="248"/>
      <c r="L292" s="238"/>
      <c r="M292" s="19"/>
      <c r="N292" s="19"/>
      <c r="O292" s="19"/>
      <c r="P292" s="19"/>
      <c r="Q292" s="19"/>
    </row>
    <row r="293" spans="2:12" ht="30">
      <c r="B293" s="216" t="s">
        <v>944</v>
      </c>
      <c r="C293" s="397" t="s">
        <v>584</v>
      </c>
      <c r="D293" s="398" t="s">
        <v>130</v>
      </c>
      <c r="E293" s="478"/>
      <c r="F293" s="216" t="s">
        <v>0</v>
      </c>
      <c r="G293" s="239" t="s">
        <v>446</v>
      </c>
      <c r="H293" s="239">
        <f>'Composições de Custo'!I291</f>
        <v>56.06</v>
      </c>
      <c r="I293" s="362">
        <f t="shared" si="25"/>
        <v>70.04</v>
      </c>
      <c r="J293" s="239">
        <f t="shared" si="24"/>
        <v>354.4</v>
      </c>
      <c r="K293" s="248"/>
      <c r="L293" s="238"/>
    </row>
    <row r="294" spans="2:12" ht="15.75">
      <c r="B294" s="584" t="s">
        <v>945</v>
      </c>
      <c r="C294" s="586" t="s">
        <v>437</v>
      </c>
      <c r="D294" s="587"/>
      <c r="E294" s="588"/>
      <c r="F294" s="589"/>
      <c r="G294" s="590"/>
      <c r="H294" s="591"/>
      <c r="I294" s="576"/>
      <c r="J294" s="576"/>
      <c r="K294" s="592"/>
      <c r="L294" s="580"/>
    </row>
    <row r="295" spans="2:12" ht="60">
      <c r="B295" s="203" t="s">
        <v>946</v>
      </c>
      <c r="C295" s="350" t="s">
        <v>262</v>
      </c>
      <c r="D295" s="349" t="s">
        <v>42</v>
      </c>
      <c r="E295" s="351">
        <v>84217</v>
      </c>
      <c r="F295" s="203" t="s">
        <v>0</v>
      </c>
      <c r="G295" s="239" t="s">
        <v>448</v>
      </c>
      <c r="H295" s="239">
        <v>51.29</v>
      </c>
      <c r="I295" s="202">
        <f t="shared" si="25"/>
        <v>64.08</v>
      </c>
      <c r="J295" s="204">
        <f aca="true" t="shared" si="26" ref="J295:J302">ROUND(G295*I295,2)</f>
        <v>365.26</v>
      </c>
      <c r="K295" s="248"/>
      <c r="L295" s="238"/>
    </row>
    <row r="296" spans="2:12" ht="18" customHeight="1">
      <c r="B296" s="203" t="s">
        <v>947</v>
      </c>
      <c r="C296" s="350" t="s">
        <v>438</v>
      </c>
      <c r="D296" s="349" t="s">
        <v>42</v>
      </c>
      <c r="E296" s="351" t="s">
        <v>442</v>
      </c>
      <c r="F296" s="203" t="s">
        <v>141</v>
      </c>
      <c r="G296" s="239" t="s">
        <v>449</v>
      </c>
      <c r="H296" s="239">
        <v>6.66</v>
      </c>
      <c r="I296" s="202">
        <f t="shared" si="25"/>
        <v>8.32</v>
      </c>
      <c r="J296" s="204">
        <f t="shared" si="26"/>
        <v>5.99</v>
      </c>
      <c r="K296" s="248"/>
      <c r="L296" s="238"/>
    </row>
    <row r="297" spans="2:12" ht="30">
      <c r="B297" s="203" t="s">
        <v>948</v>
      </c>
      <c r="C297" s="350" t="s">
        <v>439</v>
      </c>
      <c r="D297" s="349" t="s">
        <v>42</v>
      </c>
      <c r="E297" s="351" t="s">
        <v>253</v>
      </c>
      <c r="F297" s="203" t="s">
        <v>18</v>
      </c>
      <c r="G297" s="239" t="s">
        <v>450</v>
      </c>
      <c r="H297" s="239">
        <v>461.77</v>
      </c>
      <c r="I297" s="202">
        <f t="shared" si="25"/>
        <v>576.89</v>
      </c>
      <c r="J297" s="204">
        <f t="shared" si="26"/>
        <v>190.37</v>
      </c>
      <c r="K297" s="248"/>
      <c r="L297" s="238"/>
    </row>
    <row r="298" spans="2:12" ht="15.75">
      <c r="B298" s="203" t="s">
        <v>949</v>
      </c>
      <c r="C298" s="242" t="s">
        <v>537</v>
      </c>
      <c r="D298" s="244" t="s">
        <v>42</v>
      </c>
      <c r="E298" s="244">
        <v>88415</v>
      </c>
      <c r="F298" s="203" t="s">
        <v>0</v>
      </c>
      <c r="G298" s="239">
        <v>14.24</v>
      </c>
      <c r="H298" s="391">
        <v>1.7</v>
      </c>
      <c r="I298" s="202">
        <f t="shared" si="25"/>
        <v>2.12</v>
      </c>
      <c r="J298" s="204">
        <f t="shared" si="26"/>
        <v>30.19</v>
      </c>
      <c r="K298" s="248"/>
      <c r="L298" s="238"/>
    </row>
    <row r="299" spans="2:12" ht="15.75">
      <c r="B299" s="203" t="s">
        <v>950</v>
      </c>
      <c r="C299" s="385" t="s">
        <v>538</v>
      </c>
      <c r="D299" s="244" t="s">
        <v>42</v>
      </c>
      <c r="E299" s="386">
        <v>88497</v>
      </c>
      <c r="F299" s="203" t="s">
        <v>0</v>
      </c>
      <c r="G299" s="239">
        <v>14.24</v>
      </c>
      <c r="H299" s="391">
        <v>8.58</v>
      </c>
      <c r="I299" s="202">
        <f t="shared" si="25"/>
        <v>10.72</v>
      </c>
      <c r="J299" s="204">
        <f t="shared" si="26"/>
        <v>152.65</v>
      </c>
      <c r="K299" s="248"/>
      <c r="L299" s="238"/>
    </row>
    <row r="300" spans="2:12" ht="30">
      <c r="B300" s="203" t="s">
        <v>951</v>
      </c>
      <c r="C300" s="328" t="s">
        <v>539</v>
      </c>
      <c r="D300" s="244" t="s">
        <v>42</v>
      </c>
      <c r="E300" s="387">
        <v>88489</v>
      </c>
      <c r="F300" s="203" t="s">
        <v>0</v>
      </c>
      <c r="G300" s="239" t="s">
        <v>447</v>
      </c>
      <c r="H300" s="391">
        <v>8.16</v>
      </c>
      <c r="I300" s="202">
        <f t="shared" si="25"/>
        <v>10.19</v>
      </c>
      <c r="J300" s="204">
        <f t="shared" si="26"/>
        <v>145.11</v>
      </c>
      <c r="K300" s="248"/>
      <c r="L300" s="238"/>
    </row>
    <row r="301" spans="2:12" ht="15.75">
      <c r="B301" s="203" t="s">
        <v>952</v>
      </c>
      <c r="C301" s="324" t="s">
        <v>440</v>
      </c>
      <c r="D301" s="244" t="s">
        <v>42</v>
      </c>
      <c r="E301" s="201" t="s">
        <v>443</v>
      </c>
      <c r="F301" s="203" t="s">
        <v>0</v>
      </c>
      <c r="G301" s="204" t="s">
        <v>451</v>
      </c>
      <c r="H301" s="205">
        <v>207.39</v>
      </c>
      <c r="I301" s="202">
        <f t="shared" si="25"/>
        <v>259.09</v>
      </c>
      <c r="J301" s="204">
        <f t="shared" si="26"/>
        <v>1834.36</v>
      </c>
      <c r="K301" s="211"/>
      <c r="L301" s="207"/>
    </row>
    <row r="302" spans="2:12" ht="18" customHeight="1" thickBot="1">
      <c r="B302" s="203" t="s">
        <v>953</v>
      </c>
      <c r="C302" s="324" t="s">
        <v>441</v>
      </c>
      <c r="D302" s="244" t="s">
        <v>42</v>
      </c>
      <c r="E302" s="201">
        <v>6067</v>
      </c>
      <c r="F302" s="203" t="s">
        <v>0</v>
      </c>
      <c r="G302" s="204" t="s">
        <v>452</v>
      </c>
      <c r="H302" s="205">
        <v>24.45</v>
      </c>
      <c r="I302" s="202">
        <f t="shared" si="25"/>
        <v>30.55</v>
      </c>
      <c r="J302" s="204">
        <f t="shared" si="26"/>
        <v>475.97</v>
      </c>
      <c r="K302" s="211"/>
      <c r="L302" s="207"/>
    </row>
    <row r="303" spans="2:12" ht="18" customHeight="1" thickBot="1">
      <c r="B303" s="568" t="s">
        <v>685</v>
      </c>
      <c r="C303" s="554" t="s">
        <v>136</v>
      </c>
      <c r="D303" s="555"/>
      <c r="E303" s="569"/>
      <c r="F303" s="556"/>
      <c r="G303" s="557"/>
      <c r="H303" s="557"/>
      <c r="I303" s="557"/>
      <c r="J303" s="558"/>
      <c r="K303" s="570">
        <f>SUM(J305:J322)</f>
        <v>15035.53</v>
      </c>
      <c r="L303" s="560">
        <f>K303/$K$341</f>
        <v>0.017041553459372912</v>
      </c>
    </row>
    <row r="304" spans="2:12" ht="18" customHeight="1">
      <c r="B304" s="584" t="s">
        <v>686</v>
      </c>
      <c r="C304" s="586" t="s">
        <v>462</v>
      </c>
      <c r="D304" s="587"/>
      <c r="E304" s="588"/>
      <c r="F304" s="589"/>
      <c r="G304" s="590"/>
      <c r="H304" s="591"/>
      <c r="I304" s="576"/>
      <c r="J304" s="576"/>
      <c r="K304" s="592"/>
      <c r="L304" s="580"/>
    </row>
    <row r="305" spans="2:12" ht="18" customHeight="1">
      <c r="B305" s="368" t="s">
        <v>954</v>
      </c>
      <c r="C305" s="479" t="s">
        <v>454</v>
      </c>
      <c r="D305" s="370" t="s">
        <v>228</v>
      </c>
      <c r="E305" s="480">
        <v>461001</v>
      </c>
      <c r="F305" s="481" t="s">
        <v>34</v>
      </c>
      <c r="G305" s="482" t="s">
        <v>465</v>
      </c>
      <c r="H305" s="483">
        <v>35.42</v>
      </c>
      <c r="I305" s="362">
        <f aca="true" t="shared" si="27" ref="I305:I313">ROUND(H305*($I$15/100+1),2)</f>
        <v>44.25</v>
      </c>
      <c r="J305" s="362">
        <f>ROUND(G305*I305,2)</f>
        <v>4203.75</v>
      </c>
      <c r="K305" s="465"/>
      <c r="L305" s="375"/>
    </row>
    <row r="306" spans="2:12" ht="18" customHeight="1">
      <c r="B306" s="368" t="s">
        <v>955</v>
      </c>
      <c r="C306" s="484" t="s">
        <v>455</v>
      </c>
      <c r="D306" s="227" t="s">
        <v>228</v>
      </c>
      <c r="E306" s="485" t="s">
        <v>589</v>
      </c>
      <c r="F306" s="481" t="s">
        <v>34</v>
      </c>
      <c r="G306" s="486" t="s">
        <v>342</v>
      </c>
      <c r="H306" s="487">
        <v>50.98</v>
      </c>
      <c r="I306" s="362">
        <f t="shared" si="27"/>
        <v>63.69</v>
      </c>
      <c r="J306" s="362">
        <f>ROUND(G306*I306,2)</f>
        <v>955.35</v>
      </c>
      <c r="K306" s="465"/>
      <c r="L306" s="375"/>
    </row>
    <row r="307" spans="2:12" ht="18" customHeight="1">
      <c r="B307" s="368" t="s">
        <v>956</v>
      </c>
      <c r="C307" s="218" t="s">
        <v>456</v>
      </c>
      <c r="D307" s="227" t="s">
        <v>228</v>
      </c>
      <c r="E307" s="485" t="s">
        <v>590</v>
      </c>
      <c r="F307" s="481" t="s">
        <v>34</v>
      </c>
      <c r="G307" s="486" t="s">
        <v>342</v>
      </c>
      <c r="H307" s="487">
        <v>60.38</v>
      </c>
      <c r="I307" s="362">
        <f t="shared" si="27"/>
        <v>75.43</v>
      </c>
      <c r="J307" s="362">
        <f>ROUND(G307*I307,2)</f>
        <v>1131.45</v>
      </c>
      <c r="K307" s="465"/>
      <c r="L307" s="375"/>
    </row>
    <row r="308" spans="2:12" ht="18" customHeight="1">
      <c r="B308" s="584" t="s">
        <v>687</v>
      </c>
      <c r="C308" s="586" t="s">
        <v>463</v>
      </c>
      <c r="D308" s="587"/>
      <c r="E308" s="588"/>
      <c r="F308" s="589"/>
      <c r="G308" s="590"/>
      <c r="H308" s="591"/>
      <c r="I308" s="576"/>
      <c r="J308" s="576"/>
      <c r="K308" s="592"/>
      <c r="L308" s="580"/>
    </row>
    <row r="309" spans="2:12" ht="45">
      <c r="B309" s="368" t="s">
        <v>957</v>
      </c>
      <c r="C309" s="484" t="s">
        <v>457</v>
      </c>
      <c r="D309" s="227" t="s">
        <v>228</v>
      </c>
      <c r="E309" s="488">
        <v>470701</v>
      </c>
      <c r="F309" s="489" t="s">
        <v>1</v>
      </c>
      <c r="G309" s="486" t="s">
        <v>281</v>
      </c>
      <c r="H309" s="487">
        <v>51.47</v>
      </c>
      <c r="I309" s="362">
        <f t="shared" si="27"/>
        <v>64.3</v>
      </c>
      <c r="J309" s="362">
        <f>ROUND(G309*I309,2)</f>
        <v>128.6</v>
      </c>
      <c r="K309" s="237"/>
      <c r="L309" s="238"/>
    </row>
    <row r="310" spans="2:12" ht="45">
      <c r="B310" s="368" t="s">
        <v>958</v>
      </c>
      <c r="C310" s="484" t="s">
        <v>458</v>
      </c>
      <c r="D310" s="227" t="s">
        <v>228</v>
      </c>
      <c r="E310" s="490">
        <v>470702</v>
      </c>
      <c r="F310" s="489" t="s">
        <v>1</v>
      </c>
      <c r="G310" s="486" t="s">
        <v>341</v>
      </c>
      <c r="H310" s="487">
        <v>70.63</v>
      </c>
      <c r="I310" s="362">
        <f t="shared" si="27"/>
        <v>88.24</v>
      </c>
      <c r="J310" s="362">
        <f>ROUND(G310*I310,2)</f>
        <v>441.2</v>
      </c>
      <c r="K310" s="237"/>
      <c r="L310" s="238"/>
    </row>
    <row r="311" spans="2:12" ht="45">
      <c r="B311" s="368" t="s">
        <v>959</v>
      </c>
      <c r="C311" s="218" t="s">
        <v>459</v>
      </c>
      <c r="D311" s="227" t="s">
        <v>228</v>
      </c>
      <c r="E311" s="491">
        <v>470703</v>
      </c>
      <c r="F311" s="489" t="s">
        <v>1</v>
      </c>
      <c r="G311" s="486" t="s">
        <v>281</v>
      </c>
      <c r="H311" s="487">
        <v>97.65</v>
      </c>
      <c r="I311" s="362">
        <f t="shared" si="27"/>
        <v>121.99</v>
      </c>
      <c r="J311" s="362">
        <f>ROUND(G311*I311,2)</f>
        <v>243.98</v>
      </c>
      <c r="K311" s="237"/>
      <c r="L311" s="238"/>
    </row>
    <row r="312" spans="2:12" ht="18" customHeight="1">
      <c r="B312" s="368" t="s">
        <v>960</v>
      </c>
      <c r="C312" s="218" t="s">
        <v>460</v>
      </c>
      <c r="D312" s="227" t="s">
        <v>50</v>
      </c>
      <c r="E312" s="227">
        <v>10311</v>
      </c>
      <c r="F312" s="735" t="s">
        <v>1</v>
      </c>
      <c r="G312" s="486" t="s">
        <v>241</v>
      </c>
      <c r="H312" s="487">
        <v>547.77</v>
      </c>
      <c r="I312" s="362">
        <f t="shared" si="27"/>
        <v>684.33</v>
      </c>
      <c r="J312" s="362">
        <f>ROUND(G312*I312,2)</f>
        <v>684.33</v>
      </c>
      <c r="K312" s="237"/>
      <c r="L312" s="238"/>
    </row>
    <row r="313" spans="2:12" ht="18" customHeight="1">
      <c r="B313" s="368" t="s">
        <v>961</v>
      </c>
      <c r="C313" s="484" t="s">
        <v>461</v>
      </c>
      <c r="D313" s="227" t="s">
        <v>50</v>
      </c>
      <c r="E313" s="227">
        <v>8451</v>
      </c>
      <c r="F313" s="735" t="s">
        <v>1</v>
      </c>
      <c r="G313" s="486" t="s">
        <v>241</v>
      </c>
      <c r="H313" s="487">
        <v>667.78</v>
      </c>
      <c r="I313" s="362">
        <f t="shared" si="27"/>
        <v>834.26</v>
      </c>
      <c r="J313" s="362">
        <f>ROUND(G313*I313,2)</f>
        <v>834.26</v>
      </c>
      <c r="K313" s="237"/>
      <c r="L313" s="238"/>
    </row>
    <row r="314" spans="2:12" ht="18" customHeight="1">
      <c r="B314" s="584" t="s">
        <v>688</v>
      </c>
      <c r="C314" s="586" t="s">
        <v>464</v>
      </c>
      <c r="D314" s="587"/>
      <c r="E314" s="588"/>
      <c r="F314" s="589"/>
      <c r="G314" s="590"/>
      <c r="H314" s="591"/>
      <c r="I314" s="576"/>
      <c r="J314" s="576"/>
      <c r="K314" s="592"/>
      <c r="L314" s="580"/>
    </row>
    <row r="315" spans="2:12" ht="18" customHeight="1">
      <c r="B315" s="368" t="s">
        <v>963</v>
      </c>
      <c r="C315" s="484" t="s">
        <v>471</v>
      </c>
      <c r="D315" s="227" t="s">
        <v>50</v>
      </c>
      <c r="E315" s="227">
        <v>521</v>
      </c>
      <c r="F315" s="735" t="s">
        <v>1</v>
      </c>
      <c r="G315" s="738" t="s">
        <v>241</v>
      </c>
      <c r="H315" s="487">
        <v>880</v>
      </c>
      <c r="I315" s="362">
        <f>ROUND(H315*($I$15/100+1),2)</f>
        <v>1099.38</v>
      </c>
      <c r="J315" s="362">
        <f>ROUND(G315*I315,2)</f>
        <v>1099.38</v>
      </c>
      <c r="K315" s="237"/>
      <c r="L315" s="238"/>
    </row>
    <row r="316" spans="2:12" ht="18" customHeight="1">
      <c r="B316" s="368" t="s">
        <v>964</v>
      </c>
      <c r="C316" s="484" t="s">
        <v>472</v>
      </c>
      <c r="D316" s="227" t="s">
        <v>50</v>
      </c>
      <c r="E316" s="227">
        <v>521</v>
      </c>
      <c r="F316" s="735" t="s">
        <v>1</v>
      </c>
      <c r="G316" s="738" t="s">
        <v>241</v>
      </c>
      <c r="H316" s="487">
        <v>880</v>
      </c>
      <c r="I316" s="362">
        <f>ROUND(H316*($I$15/100+1),2)</f>
        <v>1099.38</v>
      </c>
      <c r="J316" s="362">
        <f>ROUND(G316*I316,2)</f>
        <v>1099.38</v>
      </c>
      <c r="K316" s="237"/>
      <c r="L316" s="238"/>
    </row>
    <row r="317" spans="2:12" ht="18" customHeight="1">
      <c r="B317" s="584" t="s">
        <v>689</v>
      </c>
      <c r="C317" s="586" t="s">
        <v>468</v>
      </c>
      <c r="D317" s="587"/>
      <c r="E317" s="588"/>
      <c r="F317" s="589"/>
      <c r="G317" s="736"/>
      <c r="H317" s="591"/>
      <c r="I317" s="576"/>
      <c r="J317" s="576"/>
      <c r="K317" s="592"/>
      <c r="L317" s="580"/>
    </row>
    <row r="318" spans="2:12" ht="18" customHeight="1">
      <c r="B318" s="368" t="s">
        <v>965</v>
      </c>
      <c r="C318" s="484" t="s">
        <v>473</v>
      </c>
      <c r="D318" s="227" t="s">
        <v>50</v>
      </c>
      <c r="E318" s="227">
        <v>522</v>
      </c>
      <c r="F318" s="735" t="s">
        <v>1</v>
      </c>
      <c r="G318" s="738" t="s">
        <v>466</v>
      </c>
      <c r="H318" s="487">
        <v>6.43</v>
      </c>
      <c r="I318" s="362">
        <f>ROUND(H318*($I$15/100+1),2)</f>
        <v>8.03</v>
      </c>
      <c r="J318" s="362">
        <f>ROUND(G318*I318,2)</f>
        <v>1003.75</v>
      </c>
      <c r="K318" s="237"/>
      <c r="L318" s="238"/>
    </row>
    <row r="319" spans="2:12" ht="18" customHeight="1">
      <c r="B319" s="584" t="s">
        <v>690</v>
      </c>
      <c r="C319" s="586" t="s">
        <v>469</v>
      </c>
      <c r="D319" s="587"/>
      <c r="E319" s="737"/>
      <c r="F319" s="589"/>
      <c r="G319" s="736"/>
      <c r="H319" s="591"/>
      <c r="I319" s="576"/>
      <c r="J319" s="576"/>
      <c r="K319" s="592"/>
      <c r="L319" s="580"/>
    </row>
    <row r="320" spans="2:12" ht="18" customHeight="1">
      <c r="B320" s="368" t="s">
        <v>966</v>
      </c>
      <c r="C320" s="484" t="s">
        <v>474</v>
      </c>
      <c r="D320" s="227" t="s">
        <v>50</v>
      </c>
      <c r="E320" s="227">
        <v>739487</v>
      </c>
      <c r="F320" s="735" t="s">
        <v>34</v>
      </c>
      <c r="G320" s="738" t="s">
        <v>466</v>
      </c>
      <c r="H320" s="487">
        <v>2.94</v>
      </c>
      <c r="I320" s="362">
        <f>ROUND(H320*($I$15/100+1),2)</f>
        <v>3.67</v>
      </c>
      <c r="J320" s="362">
        <f>ROUND(G320*I320,2)</f>
        <v>458.75</v>
      </c>
      <c r="K320" s="237"/>
      <c r="L320" s="238"/>
    </row>
    <row r="321" spans="2:12" ht="18" customHeight="1">
      <c r="B321" s="368" t="s">
        <v>967</v>
      </c>
      <c r="C321" s="218" t="s">
        <v>475</v>
      </c>
      <c r="D321" s="243" t="s">
        <v>50</v>
      </c>
      <c r="E321" s="227">
        <v>9823</v>
      </c>
      <c r="F321" s="735" t="s">
        <v>34</v>
      </c>
      <c r="G321" s="738" t="s">
        <v>466</v>
      </c>
      <c r="H321" s="487">
        <v>4.58</v>
      </c>
      <c r="I321" s="362">
        <f>ROUND(H321*($I$15/100+1),2)</f>
        <v>5.72</v>
      </c>
      <c r="J321" s="362">
        <f>ROUND(G321*I321,2)</f>
        <v>715</v>
      </c>
      <c r="K321" s="237"/>
      <c r="L321" s="238"/>
    </row>
    <row r="322" spans="2:12" ht="18" customHeight="1" thickBot="1">
      <c r="B322" s="368" t="s">
        <v>968</v>
      </c>
      <c r="C322" s="218" t="s">
        <v>476</v>
      </c>
      <c r="D322" s="243" t="s">
        <v>50</v>
      </c>
      <c r="E322" s="227">
        <v>3666</v>
      </c>
      <c r="F322" s="735" t="s">
        <v>1</v>
      </c>
      <c r="G322" s="738" t="s">
        <v>341</v>
      </c>
      <c r="H322" s="487">
        <v>326</v>
      </c>
      <c r="I322" s="362">
        <f>ROUND(H322*($I$15/100+1),2)</f>
        <v>407.27</v>
      </c>
      <c r="J322" s="362">
        <f>ROUND(G322*I322,2)</f>
        <v>2036.35</v>
      </c>
      <c r="K322" s="237"/>
      <c r="L322" s="238"/>
    </row>
    <row r="323" spans="2:12" ht="18" customHeight="1" thickBot="1">
      <c r="B323" s="568" t="s">
        <v>695</v>
      </c>
      <c r="C323" s="554" t="s">
        <v>1112</v>
      </c>
      <c r="D323" s="555"/>
      <c r="E323" s="569"/>
      <c r="F323" s="556"/>
      <c r="G323" s="557"/>
      <c r="H323" s="557"/>
      <c r="I323" s="557"/>
      <c r="J323" s="558"/>
      <c r="K323" s="570">
        <f>SUM(J324:J328)</f>
        <v>14389.96</v>
      </c>
      <c r="L323" s="560">
        <f>K323/$K$341</f>
        <v>0.016309852237881724</v>
      </c>
    </row>
    <row r="324" spans="2:12" ht="30">
      <c r="B324" s="213" t="s">
        <v>691</v>
      </c>
      <c r="C324" s="690" t="s">
        <v>1082</v>
      </c>
      <c r="D324" s="691" t="s">
        <v>42</v>
      </c>
      <c r="E324" s="691">
        <v>72948</v>
      </c>
      <c r="F324" s="203" t="s">
        <v>18</v>
      </c>
      <c r="G324" s="204">
        <f>'Memorial de Cálculo'!L702</f>
        <v>19.168000000000003</v>
      </c>
      <c r="H324" s="393">
        <v>32.19</v>
      </c>
      <c r="I324" s="239">
        <f>ROUND(H324*($I$15/100+1),2)</f>
        <v>40.21</v>
      </c>
      <c r="J324" s="239">
        <f>ROUND(G324*I324,2)</f>
        <v>770.75</v>
      </c>
      <c r="K324" s="237"/>
      <c r="L324" s="238"/>
    </row>
    <row r="325" spans="2:12" ht="18" customHeight="1">
      <c r="B325" s="213" t="s">
        <v>692</v>
      </c>
      <c r="C325" s="690" t="s">
        <v>1083</v>
      </c>
      <c r="D325" s="475" t="s">
        <v>46</v>
      </c>
      <c r="E325" s="475" t="s">
        <v>1084</v>
      </c>
      <c r="F325" s="203" t="s">
        <v>0</v>
      </c>
      <c r="G325" s="204">
        <f>'Memorial de Cálculo'!L705</f>
        <v>47.92</v>
      </c>
      <c r="H325" s="393">
        <v>40.44</v>
      </c>
      <c r="I325" s="239">
        <f>ROUND(H325*($I$15/100+1),2)</f>
        <v>50.52</v>
      </c>
      <c r="J325" s="239">
        <f>ROUND(G325*I325,2)</f>
        <v>2420.92</v>
      </c>
      <c r="K325" s="237"/>
      <c r="L325" s="238"/>
    </row>
    <row r="326" spans="2:12" ht="18" customHeight="1">
      <c r="B326" s="213" t="s">
        <v>962</v>
      </c>
      <c r="C326" s="359" t="s">
        <v>971</v>
      </c>
      <c r="D326" s="216" t="s">
        <v>42</v>
      </c>
      <c r="E326" s="360">
        <v>85179</v>
      </c>
      <c r="F326" s="216" t="s">
        <v>0</v>
      </c>
      <c r="G326" s="239">
        <f>'Memorial de Cálculo'!L711</f>
        <v>152.37999999999997</v>
      </c>
      <c r="H326" s="239">
        <v>36.72</v>
      </c>
      <c r="I326" s="362">
        <f>ROUND(H326*($I$15/100+1),2)</f>
        <v>45.87</v>
      </c>
      <c r="J326" s="362">
        <f>ROUND(G326*I326,2)</f>
        <v>6989.67</v>
      </c>
      <c r="K326" s="248"/>
      <c r="L326" s="238"/>
    </row>
    <row r="327" spans="2:12" ht="30">
      <c r="B327" s="220" t="s">
        <v>969</v>
      </c>
      <c r="C327" s="722" t="s">
        <v>1131</v>
      </c>
      <c r="D327" s="216" t="s">
        <v>46</v>
      </c>
      <c r="E327" s="721" t="s">
        <v>1132</v>
      </c>
      <c r="F327" s="216" t="s">
        <v>1</v>
      </c>
      <c r="G327" s="489">
        <f>'Memorial de Cálculo'!L714</f>
        <v>2</v>
      </c>
      <c r="H327" s="450">
        <v>781.42</v>
      </c>
      <c r="I327" s="362">
        <f>ROUND(H327*($I$15/100+1),2)</f>
        <v>976.23</v>
      </c>
      <c r="J327" s="362">
        <f>ROUND(G327*I327,2)</f>
        <v>1952.46</v>
      </c>
      <c r="K327" s="237"/>
      <c r="L327" s="238"/>
    </row>
    <row r="328" spans="2:12" ht="18" customHeight="1" thickBot="1">
      <c r="B328" s="708" t="s">
        <v>970</v>
      </c>
      <c r="C328" s="705" t="s">
        <v>1118</v>
      </c>
      <c r="D328" s="216" t="s">
        <v>46</v>
      </c>
      <c r="E328" s="721" t="s">
        <v>1130</v>
      </c>
      <c r="F328" s="216" t="s">
        <v>34</v>
      </c>
      <c r="G328" s="706">
        <f>'Memorial de Cálculo'!L719</f>
        <v>107.13</v>
      </c>
      <c r="H328" s="393">
        <v>16.86</v>
      </c>
      <c r="I328" s="362">
        <f>ROUND(H328*($I$15/100+1),2)</f>
        <v>21.06</v>
      </c>
      <c r="J328" s="362">
        <f>ROUND(G328*I328,2)</f>
        <v>2256.16</v>
      </c>
      <c r="K328" s="594"/>
      <c r="L328" s="469"/>
    </row>
    <row r="329" spans="2:12" s="19" customFormat="1" ht="18" customHeight="1" thickBot="1">
      <c r="B329" s="568" t="s">
        <v>762</v>
      </c>
      <c r="C329" s="554" t="s">
        <v>567</v>
      </c>
      <c r="D329" s="555"/>
      <c r="E329" s="569"/>
      <c r="F329" s="556"/>
      <c r="G329" s="557"/>
      <c r="H329" s="557"/>
      <c r="I329" s="557"/>
      <c r="J329" s="558"/>
      <c r="K329" s="570">
        <f>SUM(J330:J335)</f>
        <v>3933.9</v>
      </c>
      <c r="L329" s="560">
        <f>K329/$K$341</f>
        <v>0.004458756502353233</v>
      </c>
    </row>
    <row r="330" spans="2:12" s="19" customFormat="1" ht="15.75">
      <c r="B330" s="203" t="s">
        <v>972</v>
      </c>
      <c r="C330" s="392" t="s">
        <v>568</v>
      </c>
      <c r="D330" s="244" t="s">
        <v>46</v>
      </c>
      <c r="E330" s="387" t="s">
        <v>569</v>
      </c>
      <c r="F330" s="203" t="s">
        <v>0</v>
      </c>
      <c r="G330" s="239">
        <f>'Memorial de Cálculo'!L723</f>
        <v>6.9</v>
      </c>
      <c r="H330" s="239">
        <v>36</v>
      </c>
      <c r="I330" s="202">
        <f>ROUND(H330*($I$15/100+1),2)</f>
        <v>44.97</v>
      </c>
      <c r="J330" s="204">
        <f aca="true" t="shared" si="28" ref="J330:J335">ROUND(G330*I330,2)</f>
        <v>310.29</v>
      </c>
      <c r="K330" s="248"/>
      <c r="L330" s="238"/>
    </row>
    <row r="331" spans="2:12" s="19" customFormat="1" ht="45">
      <c r="B331" s="203" t="s">
        <v>973</v>
      </c>
      <c r="C331" s="276" t="s">
        <v>570</v>
      </c>
      <c r="D331" s="277" t="s">
        <v>50</v>
      </c>
      <c r="E331" s="278" t="s">
        <v>95</v>
      </c>
      <c r="F331" s="203" t="s">
        <v>0</v>
      </c>
      <c r="G331" s="239">
        <f>'Memorial de Cálculo'!L726</f>
        <v>6.9</v>
      </c>
      <c r="H331" s="239">
        <v>99.18</v>
      </c>
      <c r="I331" s="202">
        <f>ROUND(H331*($I$15/100+1),2)</f>
        <v>123.91</v>
      </c>
      <c r="J331" s="204">
        <f t="shared" si="28"/>
        <v>854.98</v>
      </c>
      <c r="K331" s="248"/>
      <c r="L331" s="238"/>
    </row>
    <row r="332" spans="2:12" s="19" customFormat="1" ht="18" customHeight="1">
      <c r="B332" s="203" t="s">
        <v>974</v>
      </c>
      <c r="C332" s="392" t="s">
        <v>571</v>
      </c>
      <c r="D332" s="244" t="s">
        <v>46</v>
      </c>
      <c r="E332" s="387" t="s">
        <v>572</v>
      </c>
      <c r="F332" s="203" t="s">
        <v>0</v>
      </c>
      <c r="G332" s="204">
        <f>'Memorial de Cálculo'!L729</f>
        <v>6.9</v>
      </c>
      <c r="H332" s="393">
        <v>124.73</v>
      </c>
      <c r="I332" s="202">
        <f>ROUND(H332*($I$15/100+1),2)</f>
        <v>155.83</v>
      </c>
      <c r="J332" s="204">
        <f t="shared" si="28"/>
        <v>1075.23</v>
      </c>
      <c r="K332" s="211"/>
      <c r="L332" s="207"/>
    </row>
    <row r="333" spans="2:12" s="19" customFormat="1" ht="15.75">
      <c r="B333" s="203" t="s">
        <v>976</v>
      </c>
      <c r="C333" s="392" t="s">
        <v>573</v>
      </c>
      <c r="D333" s="244" t="s">
        <v>46</v>
      </c>
      <c r="E333" s="387" t="s">
        <v>574</v>
      </c>
      <c r="F333" s="203" t="s">
        <v>0</v>
      </c>
      <c r="G333" s="204">
        <f>'Memorial de Cálculo'!L732</f>
        <v>2.725</v>
      </c>
      <c r="H333" s="393">
        <v>417.61</v>
      </c>
      <c r="I333" s="202">
        <f>ROUND(H333*($I$15/100+1),2)</f>
        <v>521.72</v>
      </c>
      <c r="J333" s="204">
        <f t="shared" si="28"/>
        <v>1421.69</v>
      </c>
      <c r="K333" s="211"/>
      <c r="L333" s="207"/>
    </row>
    <row r="334" spans="2:12" s="19" customFormat="1" ht="30">
      <c r="B334" s="203" t="s">
        <v>977</v>
      </c>
      <c r="C334" s="359" t="s">
        <v>575</v>
      </c>
      <c r="D334" s="212" t="s">
        <v>42</v>
      </c>
      <c r="E334" s="212">
        <v>72104</v>
      </c>
      <c r="F334" s="216" t="s">
        <v>34</v>
      </c>
      <c r="G334" s="239">
        <f>'Memorial de Cálculo'!L735</f>
        <v>3.45</v>
      </c>
      <c r="H334" s="239">
        <v>24.78</v>
      </c>
      <c r="I334" s="202">
        <f>ROUND(H334*($I$15/100+1),2)</f>
        <v>30.96</v>
      </c>
      <c r="J334" s="204">
        <f t="shared" si="28"/>
        <v>106.81</v>
      </c>
      <c r="K334" s="248"/>
      <c r="L334" s="238"/>
    </row>
    <row r="335" spans="2:12" s="19" customFormat="1" ht="18" customHeight="1" thickBot="1">
      <c r="B335" s="203" t="s">
        <v>1113</v>
      </c>
      <c r="C335" s="234" t="s">
        <v>577</v>
      </c>
      <c r="D335" s="227" t="s">
        <v>130</v>
      </c>
      <c r="E335" s="227"/>
      <c r="F335" s="216" t="s">
        <v>34</v>
      </c>
      <c r="G335" s="239">
        <f>'Memorial de Cálculo'!L738</f>
        <v>5.15</v>
      </c>
      <c r="H335" s="450">
        <v>46.52</v>
      </c>
      <c r="I335" s="362">
        <f>'Composições de Custo'!I142</f>
        <v>32.019999999999996</v>
      </c>
      <c r="J335" s="239">
        <f t="shared" si="28"/>
        <v>164.9</v>
      </c>
      <c r="K335" s="237"/>
      <c r="L335" s="238"/>
    </row>
    <row r="336" spans="2:12" ht="18" customHeight="1" thickBot="1">
      <c r="B336" s="568" t="s">
        <v>1114</v>
      </c>
      <c r="C336" s="554" t="s">
        <v>13</v>
      </c>
      <c r="D336" s="555"/>
      <c r="E336" s="569"/>
      <c r="F336" s="556"/>
      <c r="G336" s="557"/>
      <c r="H336" s="557"/>
      <c r="I336" s="557"/>
      <c r="J336" s="558"/>
      <c r="K336" s="570">
        <f>SUM(J337:J339)</f>
        <v>16752.89</v>
      </c>
      <c r="L336" s="560">
        <f>K336/$K$341</f>
        <v>0.018988041694173327</v>
      </c>
    </row>
    <row r="337" spans="2:12" ht="18" customHeight="1">
      <c r="B337" s="216" t="s">
        <v>1115</v>
      </c>
      <c r="C337" s="359" t="s">
        <v>578</v>
      </c>
      <c r="D337" s="216" t="s">
        <v>42</v>
      </c>
      <c r="E337" s="360" t="s">
        <v>579</v>
      </c>
      <c r="F337" s="216" t="s">
        <v>0</v>
      </c>
      <c r="G337" s="239">
        <v>24.53</v>
      </c>
      <c r="H337" s="239">
        <f>'Memorial de Cálculo'!L744</f>
        <v>99.63000000000001</v>
      </c>
      <c r="I337" s="362">
        <f>ROUND(H337*($I$15/100+1),2)</f>
        <v>124.47</v>
      </c>
      <c r="J337" s="362">
        <f>ROUND(G337*I337,2)</f>
        <v>3053.25</v>
      </c>
      <c r="K337" s="248"/>
      <c r="L337" s="238"/>
    </row>
    <row r="338" spans="2:12" ht="18" customHeight="1">
      <c r="B338" s="216" t="s">
        <v>1116</v>
      </c>
      <c r="C338" s="359" t="s">
        <v>978</v>
      </c>
      <c r="D338" s="216" t="s">
        <v>46</v>
      </c>
      <c r="E338" s="360" t="s">
        <v>1006</v>
      </c>
      <c r="F338" s="216" t="s">
        <v>34</v>
      </c>
      <c r="G338" s="239">
        <f>'Memorial de Cálculo'!L748</f>
        <v>116.55</v>
      </c>
      <c r="H338" s="239">
        <v>89.23</v>
      </c>
      <c r="I338" s="362">
        <f>ROUND(H338*($I$15/100+1),2)</f>
        <v>111.48</v>
      </c>
      <c r="J338" s="362">
        <f>ROUND(G338*I338,2)</f>
        <v>12992.99</v>
      </c>
      <c r="K338" s="248"/>
      <c r="L338" s="238"/>
    </row>
    <row r="339" spans="2:12" s="19" customFormat="1" ht="18" customHeight="1">
      <c r="B339" s="216" t="s">
        <v>1117</v>
      </c>
      <c r="C339" s="646" t="s">
        <v>37</v>
      </c>
      <c r="D339" s="216" t="s">
        <v>42</v>
      </c>
      <c r="E339" s="360">
        <v>9537</v>
      </c>
      <c r="F339" s="216" t="s">
        <v>0</v>
      </c>
      <c r="G339" s="239">
        <v>373.89</v>
      </c>
      <c r="H339" s="235">
        <v>1.51</v>
      </c>
      <c r="I339" s="362">
        <f>ROUND(H339*($I$15/100+1),2)</f>
        <v>1.89</v>
      </c>
      <c r="J339" s="362">
        <f>ROUND(G339*I339,2)</f>
        <v>706.65</v>
      </c>
      <c r="K339" s="211"/>
      <c r="L339" s="207"/>
    </row>
    <row r="340" spans="2:12" s="8" customFormat="1" ht="4.5" customHeight="1" thickBot="1">
      <c r="B340" s="249"/>
      <c r="C340" s="250"/>
      <c r="D340" s="250"/>
      <c r="E340" s="250"/>
      <c r="F340" s="251"/>
      <c r="G340" s="252"/>
      <c r="H340" s="253"/>
      <c r="I340" s="254"/>
      <c r="J340" s="254"/>
      <c r="K340" s="255"/>
      <c r="L340" s="256"/>
    </row>
    <row r="341" spans="2:12" s="12" customFormat="1" ht="18" customHeight="1" thickBot="1">
      <c r="B341" s="789" t="s">
        <v>82</v>
      </c>
      <c r="C341" s="790"/>
      <c r="D341" s="555"/>
      <c r="E341" s="569"/>
      <c r="F341" s="556"/>
      <c r="G341" s="557"/>
      <c r="H341" s="557"/>
      <c r="I341" s="557"/>
      <c r="J341" s="558"/>
      <c r="K341" s="570">
        <f>SUM(K17:K339)</f>
        <v>882286.35</v>
      </c>
      <c r="L341" s="560">
        <f>SUM(L17:L339)</f>
        <v>1</v>
      </c>
    </row>
    <row r="342" spans="2:12" s="12" customFormat="1" ht="18" customHeight="1">
      <c r="B342" s="257"/>
      <c r="C342" s="258"/>
      <c r="D342" s="258"/>
      <c r="E342" s="258"/>
      <c r="F342" s="259"/>
      <c r="G342" s="260"/>
      <c r="H342" s="261"/>
      <c r="I342" s="262"/>
      <c r="J342" s="262"/>
      <c r="K342" s="410"/>
      <c r="L342" s="263"/>
    </row>
    <row r="343" spans="2:12" ht="18" customHeight="1">
      <c r="B343" s="264"/>
      <c r="C343" s="265"/>
      <c r="D343" s="265"/>
      <c r="E343" s="265"/>
      <c r="F343" s="264"/>
      <c r="G343" s="266"/>
      <c r="H343" s="267"/>
      <c r="I343" s="268"/>
      <c r="J343" s="268"/>
      <c r="K343" s="269"/>
      <c r="L343" s="270"/>
    </row>
    <row r="344" spans="2:12" ht="18" customHeight="1">
      <c r="B344" s="791" t="str">
        <f>"Importa o presente orçamento a quantia de R$ "&amp;FIXED(K341)&amp;" ("&amp;extenso(K341)&amp;"), referente a "&amp;$B$9&amp;", "&amp;$F$9</f>
        <v>Importa o presente orçamento a quantia de R$ 882.286,35 (Oitocentos e Oitenta e Dois Mil Duzentos e Oitenta e Seis Reais e Trinta e Cinco Centavos), referente a Obra: Construção do Centro de Parto Normal (CPN), Município: Floriano - PI</v>
      </c>
      <c r="C344" s="791"/>
      <c r="D344" s="791"/>
      <c r="E344" s="791"/>
      <c r="F344" s="791"/>
      <c r="G344" s="791"/>
      <c r="H344" s="791"/>
      <c r="I344" s="791"/>
      <c r="J344" s="791"/>
      <c r="K344" s="791"/>
      <c r="L344" s="791"/>
    </row>
    <row r="345" spans="2:12" ht="18" customHeight="1">
      <c r="B345" s="791"/>
      <c r="C345" s="791"/>
      <c r="D345" s="791"/>
      <c r="E345" s="791"/>
      <c r="F345" s="791"/>
      <c r="G345" s="791"/>
      <c r="H345" s="791"/>
      <c r="I345" s="791"/>
      <c r="J345" s="791"/>
      <c r="K345" s="791"/>
      <c r="L345" s="791"/>
    </row>
    <row r="346" spans="2:12" ht="18" customHeight="1">
      <c r="B346" s="1"/>
      <c r="F346" s="1"/>
      <c r="G346" s="1"/>
      <c r="H346" s="1"/>
      <c r="I346" s="1"/>
      <c r="J346" s="1"/>
      <c r="K346" s="1"/>
      <c r="L346" s="1"/>
    </row>
    <row r="347" spans="2:12" ht="18" customHeight="1">
      <c r="B347" s="1"/>
      <c r="F347" s="1"/>
      <c r="G347" s="1"/>
      <c r="H347" s="1"/>
      <c r="I347" s="1"/>
      <c r="J347" s="1"/>
      <c r="K347" s="1"/>
      <c r="L347" s="1"/>
    </row>
    <row r="348" spans="2:3" ht="18" customHeight="1">
      <c r="B348" s="794" t="s">
        <v>1177</v>
      </c>
      <c r="C348" s="794"/>
    </row>
    <row r="351" spans="9:10" ht="18" customHeight="1">
      <c r="I351" s="990"/>
      <c r="J351" s="990"/>
    </row>
    <row r="352" spans="9:10" ht="18" customHeight="1">
      <c r="I352" s="990"/>
      <c r="J352" s="990"/>
    </row>
  </sheetData>
  <sheetProtection/>
  <mergeCells count="22">
    <mergeCell ref="B341:C341"/>
    <mergeCell ref="B344:L345"/>
    <mergeCell ref="J14:J15"/>
    <mergeCell ref="B14:B15"/>
    <mergeCell ref="B348:C348"/>
    <mergeCell ref="C14:C15"/>
    <mergeCell ref="F14:F15"/>
    <mergeCell ref="G14:G15"/>
    <mergeCell ref="H14:H15"/>
    <mergeCell ref="D14:D15"/>
    <mergeCell ref="E14:E15"/>
    <mergeCell ref="F2:L3"/>
    <mergeCell ref="F4:L5"/>
    <mergeCell ref="F6:L7"/>
    <mergeCell ref="K14:K15"/>
    <mergeCell ref="L14:L15"/>
    <mergeCell ref="B11:C11"/>
    <mergeCell ref="B12:L12"/>
    <mergeCell ref="F9:L9"/>
    <mergeCell ref="B9:E9"/>
    <mergeCell ref="B10:E10"/>
    <mergeCell ref="F10:L10"/>
  </mergeCells>
  <printOptions horizontalCentered="1"/>
  <pageMargins left="0.3937007874015748" right="0.1968503937007874" top="0.5905511811023623" bottom="0.71" header="0.3937007874015748" footer="0.3937007874015748"/>
  <pageSetup horizontalDpi="600" verticalDpi="600" orientation="landscape" paperSize="9" scale="61" r:id="rId2"/>
  <headerFooter>
    <oddFooter>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1"/>
  <sheetViews>
    <sheetView view="pageBreakPreview" zoomScale="59" zoomScaleSheetLayoutView="59" zoomScalePageLayoutView="0" workbookViewId="0" topLeftCell="A1">
      <selection activeCell="B9" sqref="B9:E9"/>
    </sheetView>
  </sheetViews>
  <sheetFormatPr defaultColWidth="9.140625" defaultRowHeight="15"/>
  <cols>
    <col min="2" max="2" width="9.140625" style="0" customWidth="1"/>
    <col min="3" max="3" width="47.8515625" style="0" customWidth="1"/>
    <col min="4" max="4" width="8.57421875" style="0" customWidth="1"/>
    <col min="5" max="5" width="13.28125" style="0" bestFit="1" customWidth="1"/>
    <col min="6" max="6" width="7.57421875" style="0" bestFit="1" customWidth="1"/>
    <col min="7" max="7" width="10.00390625" style="0" bestFit="1" customWidth="1"/>
    <col min="8" max="8" width="6.7109375" style="0" bestFit="1" customWidth="1"/>
    <col min="9" max="9" width="11.00390625" style="0" bestFit="1" customWidth="1"/>
    <col min="10" max="10" width="7.57421875" style="0" bestFit="1" customWidth="1"/>
    <col min="11" max="11" width="11.00390625" style="0" bestFit="1" customWidth="1"/>
    <col min="12" max="12" width="7.57421875" style="0" bestFit="1" customWidth="1"/>
    <col min="13" max="13" width="11.00390625" style="0" bestFit="1" customWidth="1"/>
    <col min="14" max="14" width="6.7109375" style="0" customWidth="1"/>
    <col min="15" max="15" width="11.00390625" style="0" customWidth="1"/>
    <col min="16" max="16" width="6.7109375" style="0" customWidth="1"/>
    <col min="17" max="17" width="11.00390625" style="0" customWidth="1"/>
    <col min="18" max="18" width="7.57421875" style="0" bestFit="1" customWidth="1"/>
    <col min="19" max="19" width="10.00390625" style="0" bestFit="1" customWidth="1"/>
    <col min="20" max="20" width="12.28125" style="0" customWidth="1"/>
    <col min="21" max="21" width="13.28125" style="0" bestFit="1" customWidth="1"/>
    <col min="22" max="22" width="11.57421875" style="0" bestFit="1" customWidth="1"/>
  </cols>
  <sheetData>
    <row r="2" spans="2:20" ht="18" customHeight="1">
      <c r="B2" s="30"/>
      <c r="C2" s="31"/>
      <c r="D2" s="31"/>
      <c r="E2" s="31"/>
      <c r="F2" s="801" t="s">
        <v>47</v>
      </c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</row>
    <row r="3" spans="2:20" ht="18" customHeight="1">
      <c r="B3" s="32"/>
      <c r="C3" s="33"/>
      <c r="D3" s="33"/>
      <c r="E3" s="33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</row>
    <row r="4" spans="2:20" ht="18" customHeight="1">
      <c r="B4" s="32"/>
      <c r="C4" s="33"/>
      <c r="D4" s="33"/>
      <c r="E4" s="33"/>
      <c r="F4" s="784" t="s">
        <v>48</v>
      </c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</row>
    <row r="5" spans="2:20" ht="18" customHeight="1">
      <c r="B5" s="32"/>
      <c r="C5" s="33"/>
      <c r="D5" s="33"/>
      <c r="E5" s="33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</row>
    <row r="6" spans="2:20" ht="18" customHeight="1">
      <c r="B6" s="32"/>
      <c r="C6" s="33"/>
      <c r="D6" s="33"/>
      <c r="E6" s="33"/>
      <c r="F6" s="802" t="s">
        <v>35</v>
      </c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</row>
    <row r="7" spans="2:20" ht="18" customHeight="1">
      <c r="B7" s="34"/>
      <c r="C7" s="35"/>
      <c r="D7" s="35"/>
      <c r="E7" s="35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802"/>
      <c r="R7" s="802"/>
      <c r="S7" s="802"/>
      <c r="T7" s="802"/>
    </row>
    <row r="8" spans="2:20" ht="4.5" customHeight="1">
      <c r="B8" s="36"/>
      <c r="C8" s="33"/>
      <c r="D8" s="33"/>
      <c r="E8" s="33"/>
      <c r="F8" s="36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2:20" ht="24" customHeight="1">
      <c r="B9" s="803" t="s">
        <v>105</v>
      </c>
      <c r="C9" s="804"/>
      <c r="D9" s="804"/>
      <c r="E9" s="804"/>
      <c r="F9" s="803" t="s">
        <v>1134</v>
      </c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22"/>
    </row>
    <row r="10" spans="2:20" ht="24" customHeight="1">
      <c r="B10" s="803" t="s">
        <v>106</v>
      </c>
      <c r="C10" s="804"/>
      <c r="D10" s="804"/>
      <c r="E10" s="804"/>
      <c r="F10" s="810" t="s">
        <v>597</v>
      </c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2"/>
    </row>
    <row r="11" spans="2:20" ht="4.5" customHeight="1" thickBo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0"/>
    </row>
    <row r="12" spans="2:20" ht="24.75" customHeight="1" thickBot="1">
      <c r="B12" s="805" t="s">
        <v>51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7"/>
    </row>
    <row r="13" spans="2:20" ht="4.5" customHeight="1" thickBo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2:20" ht="15">
      <c r="B14" s="816" t="s">
        <v>16</v>
      </c>
      <c r="C14" s="820" t="s">
        <v>17</v>
      </c>
      <c r="D14" s="816" t="s">
        <v>23</v>
      </c>
      <c r="E14" s="818" t="s">
        <v>24</v>
      </c>
      <c r="F14" s="813" t="s">
        <v>25</v>
      </c>
      <c r="G14" s="814"/>
      <c r="H14" s="813" t="s">
        <v>26</v>
      </c>
      <c r="I14" s="814"/>
      <c r="J14" s="813" t="s">
        <v>33</v>
      </c>
      <c r="K14" s="814"/>
      <c r="L14" s="813" t="s">
        <v>88</v>
      </c>
      <c r="M14" s="814"/>
      <c r="N14" s="813" t="s">
        <v>753</v>
      </c>
      <c r="O14" s="814"/>
      <c r="P14" s="813" t="s">
        <v>142</v>
      </c>
      <c r="Q14" s="814"/>
      <c r="R14" s="813">
        <v>210</v>
      </c>
      <c r="S14" s="814"/>
      <c r="T14" s="816" t="s">
        <v>15</v>
      </c>
    </row>
    <row r="15" spans="2:20" ht="15.75" thickBot="1">
      <c r="B15" s="817"/>
      <c r="C15" s="821"/>
      <c r="D15" s="817"/>
      <c r="E15" s="819"/>
      <c r="F15" s="526" t="s">
        <v>27</v>
      </c>
      <c r="G15" s="527" t="s">
        <v>28</v>
      </c>
      <c r="H15" s="526" t="s">
        <v>27</v>
      </c>
      <c r="I15" s="527" t="s">
        <v>28</v>
      </c>
      <c r="J15" s="526" t="s">
        <v>27</v>
      </c>
      <c r="K15" s="527" t="s">
        <v>28</v>
      </c>
      <c r="L15" s="526" t="s">
        <v>27</v>
      </c>
      <c r="M15" s="527" t="s">
        <v>28</v>
      </c>
      <c r="N15" s="526" t="s">
        <v>27</v>
      </c>
      <c r="O15" s="527" t="s">
        <v>28</v>
      </c>
      <c r="P15" s="526" t="s">
        <v>27</v>
      </c>
      <c r="Q15" s="527" t="s">
        <v>28</v>
      </c>
      <c r="R15" s="526" t="s">
        <v>27</v>
      </c>
      <c r="S15" s="527" t="s">
        <v>28</v>
      </c>
      <c r="T15" s="817"/>
    </row>
    <row r="16" spans="2:20" ht="4.5" customHeight="1" thickBot="1">
      <c r="B16" s="42"/>
      <c r="C16" s="42"/>
      <c r="D16" s="43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</row>
    <row r="17" spans="2:21" ht="15.75" thickBot="1">
      <c r="B17" s="505" t="s">
        <v>6</v>
      </c>
      <c r="C17" s="508" t="str">
        <f>Orçamento!C17</f>
        <v>SERVIÇOS PRELIMINARES</v>
      </c>
      <c r="D17" s="499">
        <f aca="true" t="shared" si="0" ref="D17:D37">E17/$E$39</f>
        <v>0.011464769912851988</v>
      </c>
      <c r="E17" s="502">
        <f>Orçamento!K17</f>
        <v>10115.21</v>
      </c>
      <c r="F17" s="502">
        <v>100</v>
      </c>
      <c r="G17" s="528">
        <f aca="true" t="shared" si="1" ref="G17:G37">F17*E17/100</f>
        <v>10115.21</v>
      </c>
      <c r="H17" s="514">
        <v>0</v>
      </c>
      <c r="I17" s="515">
        <f>H17*E17/100</f>
        <v>0</v>
      </c>
      <c r="J17" s="514">
        <v>0</v>
      </c>
      <c r="K17" s="515">
        <f aca="true" t="shared" si="2" ref="K17:K37">J17*E17/100</f>
        <v>0</v>
      </c>
      <c r="L17" s="514">
        <v>0</v>
      </c>
      <c r="M17" s="515">
        <f>L17*E17/100</f>
        <v>0</v>
      </c>
      <c r="N17" s="514">
        <v>0</v>
      </c>
      <c r="O17" s="515">
        <f>N17*E17/100</f>
        <v>0</v>
      </c>
      <c r="P17" s="514">
        <v>0</v>
      </c>
      <c r="Q17" s="515">
        <f>P17*E17/100</f>
        <v>0</v>
      </c>
      <c r="R17" s="520">
        <v>0</v>
      </c>
      <c r="S17" s="515">
        <f>R17*E17/100</f>
        <v>0</v>
      </c>
      <c r="T17" s="523">
        <f>G17+I17+K17+S17+M17+O17+Q17</f>
        <v>10115.21</v>
      </c>
      <c r="U17" s="329">
        <f>T17/E17</f>
        <v>1</v>
      </c>
    </row>
    <row r="18" spans="2:21" ht="15">
      <c r="B18" s="696" t="str">
        <f>Orçamento!B25</f>
        <v>2.00</v>
      </c>
      <c r="C18" s="697" t="str">
        <f>Orçamento!C25</f>
        <v>RETIRADAS E DEMOLIÇÕES </v>
      </c>
      <c r="D18" s="499">
        <f t="shared" si="0"/>
        <v>0.0070738145274490535</v>
      </c>
      <c r="E18" s="698">
        <f>Orçamento!K25</f>
        <v>6241.13</v>
      </c>
      <c r="F18" s="698">
        <v>100</v>
      </c>
      <c r="G18" s="528">
        <f t="shared" si="1"/>
        <v>6241.13</v>
      </c>
      <c r="H18" s="514">
        <v>0</v>
      </c>
      <c r="I18" s="515">
        <f>H18*E18/100</f>
        <v>0</v>
      </c>
      <c r="J18" s="699">
        <v>0</v>
      </c>
      <c r="K18" s="515">
        <f t="shared" si="2"/>
        <v>0</v>
      </c>
      <c r="L18" s="699">
        <v>0</v>
      </c>
      <c r="M18" s="515">
        <f>L18*E18/100</f>
        <v>0</v>
      </c>
      <c r="N18" s="699">
        <v>0</v>
      </c>
      <c r="O18" s="515">
        <f>N18*E18/100</f>
        <v>0</v>
      </c>
      <c r="P18" s="699">
        <v>0</v>
      </c>
      <c r="Q18" s="515">
        <f>P18*E18/100</f>
        <v>0</v>
      </c>
      <c r="R18" s="700">
        <v>0</v>
      </c>
      <c r="S18" s="515">
        <f>R18*E18/100</f>
        <v>0</v>
      </c>
      <c r="T18" s="523">
        <f>G18+I18+K18+S18+M18+O18+Q18</f>
        <v>6241.13</v>
      </c>
      <c r="U18" s="329"/>
    </row>
    <row r="19" spans="2:21" ht="15">
      <c r="B19" s="506" t="str">
        <f>Orçamento!B31</f>
        <v>3.00</v>
      </c>
      <c r="C19" s="509" t="str">
        <f>Orçamento!C31</f>
        <v>INFRA-ESTRUTURA</v>
      </c>
      <c r="D19" s="500">
        <f>E19/$E$39</f>
        <v>0.16144352680963503</v>
      </c>
      <c r="E19" s="503">
        <f>Orçamento!K31</f>
        <v>142439.42000000004</v>
      </c>
      <c r="F19" s="503">
        <v>45</v>
      </c>
      <c r="G19" s="529">
        <f t="shared" si="1"/>
        <v>64097.73900000002</v>
      </c>
      <c r="H19" s="516">
        <v>55</v>
      </c>
      <c r="I19" s="517">
        <f>H19*E19/100</f>
        <v>78341.68100000003</v>
      </c>
      <c r="J19" s="516">
        <v>0</v>
      </c>
      <c r="K19" s="517">
        <f t="shared" si="2"/>
        <v>0</v>
      </c>
      <c r="L19" s="516">
        <v>0</v>
      </c>
      <c r="M19" s="517">
        <f aca="true" t="shared" si="3" ref="M19:M37">L19*E19/100</f>
        <v>0</v>
      </c>
      <c r="N19" s="516">
        <v>0</v>
      </c>
      <c r="O19" s="517">
        <f aca="true" t="shared" si="4" ref="O19:O37">N19*E19/100</f>
        <v>0</v>
      </c>
      <c r="P19" s="516">
        <v>0</v>
      </c>
      <c r="Q19" s="517">
        <f aca="true" t="shared" si="5" ref="Q19:Q37">P19*E19/100</f>
        <v>0</v>
      </c>
      <c r="R19" s="521">
        <v>0</v>
      </c>
      <c r="S19" s="517">
        <f aca="true" t="shared" si="6" ref="S19:S37">R19*E19/100</f>
        <v>0</v>
      </c>
      <c r="T19" s="524">
        <f aca="true" t="shared" si="7" ref="T19:T37">G19+I19+K19+S19+M19+O19+Q19</f>
        <v>142439.42000000004</v>
      </c>
      <c r="U19" s="329">
        <f aca="true" t="shared" si="8" ref="U19:U37">T19/E19</f>
        <v>1</v>
      </c>
    </row>
    <row r="20" spans="2:21" ht="15">
      <c r="B20" s="506" t="str">
        <f>Orçamento!B51</f>
        <v>4.00</v>
      </c>
      <c r="C20" s="509" t="str">
        <f>Orçamento!C51</f>
        <v>SUPERESTRUTURA</v>
      </c>
      <c r="D20" s="500">
        <f t="shared" si="0"/>
        <v>0.09086800447496439</v>
      </c>
      <c r="E20" s="503">
        <f>Orçamento!K51</f>
        <v>80171.59999999999</v>
      </c>
      <c r="F20" s="503">
        <v>0</v>
      </c>
      <c r="G20" s="529">
        <f t="shared" si="1"/>
        <v>0</v>
      </c>
      <c r="H20" s="516">
        <v>35</v>
      </c>
      <c r="I20" s="517">
        <f aca="true" t="shared" si="9" ref="I20:I37">H20*E20/100</f>
        <v>28060.059999999994</v>
      </c>
      <c r="J20" s="516">
        <v>65</v>
      </c>
      <c r="K20" s="517">
        <f t="shared" si="2"/>
        <v>52111.53999999999</v>
      </c>
      <c r="L20" s="516">
        <v>0</v>
      </c>
      <c r="M20" s="517">
        <f t="shared" si="3"/>
        <v>0</v>
      </c>
      <c r="N20" s="516">
        <v>0</v>
      </c>
      <c r="O20" s="517">
        <f t="shared" si="4"/>
        <v>0</v>
      </c>
      <c r="P20" s="516">
        <v>0</v>
      </c>
      <c r="Q20" s="517">
        <f t="shared" si="5"/>
        <v>0</v>
      </c>
      <c r="R20" s="521">
        <v>0</v>
      </c>
      <c r="S20" s="517">
        <f t="shared" si="6"/>
        <v>0</v>
      </c>
      <c r="T20" s="524">
        <f t="shared" si="7"/>
        <v>80171.59999999999</v>
      </c>
      <c r="U20" s="329">
        <f t="shared" si="8"/>
        <v>1</v>
      </c>
    </row>
    <row r="21" spans="2:21" ht="15">
      <c r="B21" s="506" t="str">
        <f>Orçamento!B59</f>
        <v>5.00</v>
      </c>
      <c r="C21" s="510" t="str">
        <f>Orçamento!C59</f>
        <v>PAREDES E PAINÉIS</v>
      </c>
      <c r="D21" s="500">
        <f t="shared" si="0"/>
        <v>0.0672437695539549</v>
      </c>
      <c r="E21" s="503">
        <f>Orçamento!K59</f>
        <v>59328.26</v>
      </c>
      <c r="F21" s="503">
        <v>0</v>
      </c>
      <c r="G21" s="529">
        <f t="shared" si="1"/>
        <v>0</v>
      </c>
      <c r="H21" s="516">
        <v>15</v>
      </c>
      <c r="I21" s="517">
        <f t="shared" si="9"/>
        <v>8899.239</v>
      </c>
      <c r="J21" s="516">
        <v>75</v>
      </c>
      <c r="K21" s="517">
        <f t="shared" si="2"/>
        <v>44496.195</v>
      </c>
      <c r="L21" s="516">
        <v>10</v>
      </c>
      <c r="M21" s="517">
        <f t="shared" si="3"/>
        <v>5932.826</v>
      </c>
      <c r="N21" s="516">
        <v>0</v>
      </c>
      <c r="O21" s="517">
        <f t="shared" si="4"/>
        <v>0</v>
      </c>
      <c r="P21" s="516">
        <v>0</v>
      </c>
      <c r="Q21" s="517">
        <f t="shared" si="5"/>
        <v>0</v>
      </c>
      <c r="R21" s="521">
        <v>0</v>
      </c>
      <c r="S21" s="517">
        <f t="shared" si="6"/>
        <v>0</v>
      </c>
      <c r="T21" s="524">
        <f t="shared" si="7"/>
        <v>59328.26</v>
      </c>
      <c r="U21" s="329">
        <f t="shared" si="8"/>
        <v>1</v>
      </c>
    </row>
    <row r="22" spans="2:21" ht="15">
      <c r="B22" s="506" t="str">
        <f>Orçamento!B76</f>
        <v>6.00</v>
      </c>
      <c r="C22" s="509" t="str">
        <f>Orçamento!C76</f>
        <v>COBERTURA</v>
      </c>
      <c r="D22" s="500">
        <f t="shared" si="0"/>
        <v>0.10357050179910413</v>
      </c>
      <c r="E22" s="503">
        <f>Orçamento!K76</f>
        <v>91378.84000000001</v>
      </c>
      <c r="F22" s="503">
        <v>0</v>
      </c>
      <c r="G22" s="529">
        <f t="shared" si="1"/>
        <v>0</v>
      </c>
      <c r="H22" s="516">
        <v>0</v>
      </c>
      <c r="I22" s="517">
        <f t="shared" si="9"/>
        <v>0</v>
      </c>
      <c r="J22" s="516">
        <v>85</v>
      </c>
      <c r="K22" s="517">
        <f t="shared" si="2"/>
        <v>77672.01400000001</v>
      </c>
      <c r="L22" s="516">
        <v>15</v>
      </c>
      <c r="M22" s="517">
        <f t="shared" si="3"/>
        <v>13706.826000000001</v>
      </c>
      <c r="N22" s="516">
        <v>0</v>
      </c>
      <c r="O22" s="517">
        <f t="shared" si="4"/>
        <v>0</v>
      </c>
      <c r="P22" s="516">
        <v>0</v>
      </c>
      <c r="Q22" s="517">
        <f t="shared" si="5"/>
        <v>0</v>
      </c>
      <c r="R22" s="521">
        <v>0</v>
      </c>
      <c r="S22" s="517">
        <f t="shared" si="6"/>
        <v>0</v>
      </c>
      <c r="T22" s="524">
        <f t="shared" si="7"/>
        <v>91378.84000000001</v>
      </c>
      <c r="U22" s="329">
        <f t="shared" si="8"/>
        <v>1</v>
      </c>
    </row>
    <row r="23" spans="2:21" ht="15">
      <c r="B23" s="506" t="str">
        <f>Orçamento!B93</f>
        <v>7.00</v>
      </c>
      <c r="C23" s="509" t="str">
        <f>Orçamento!C93</f>
        <v>ESQUADRIAS METÁLICAS</v>
      </c>
      <c r="D23" s="500">
        <f t="shared" si="0"/>
        <v>0.04732576900912045</v>
      </c>
      <c r="E23" s="503">
        <f>Orçamento!K93</f>
        <v>41754.88</v>
      </c>
      <c r="F23" s="503">
        <v>0</v>
      </c>
      <c r="G23" s="529">
        <f t="shared" si="1"/>
        <v>0</v>
      </c>
      <c r="H23" s="516">
        <v>0</v>
      </c>
      <c r="I23" s="517">
        <f t="shared" si="9"/>
        <v>0</v>
      </c>
      <c r="J23" s="516">
        <v>0</v>
      </c>
      <c r="K23" s="517">
        <f t="shared" si="2"/>
        <v>0</v>
      </c>
      <c r="L23" s="516">
        <v>0</v>
      </c>
      <c r="M23" s="517">
        <f t="shared" si="3"/>
        <v>0</v>
      </c>
      <c r="N23" s="516">
        <v>90</v>
      </c>
      <c r="O23" s="517">
        <f t="shared" si="4"/>
        <v>37579.392</v>
      </c>
      <c r="P23" s="516">
        <v>10</v>
      </c>
      <c r="Q23" s="517">
        <f t="shared" si="5"/>
        <v>4175.488</v>
      </c>
      <c r="R23" s="521">
        <v>0</v>
      </c>
      <c r="S23" s="517">
        <f t="shared" si="6"/>
        <v>0</v>
      </c>
      <c r="T23" s="524">
        <f t="shared" si="7"/>
        <v>41754.88</v>
      </c>
      <c r="U23" s="329">
        <f t="shared" si="8"/>
        <v>1</v>
      </c>
    </row>
    <row r="24" spans="2:21" ht="15">
      <c r="B24" s="506" t="str">
        <f>Orçamento!B102</f>
        <v>8.00</v>
      </c>
      <c r="C24" s="511" t="str">
        <f>Orçamento!C102</f>
        <v>ESQUADRIAS MAADEIRA</v>
      </c>
      <c r="D24" s="500">
        <f t="shared" si="0"/>
        <v>0.028835955582901175</v>
      </c>
      <c r="E24" s="503">
        <f>Orçamento!K102</f>
        <v>25441.57</v>
      </c>
      <c r="F24" s="503">
        <v>0</v>
      </c>
      <c r="G24" s="529">
        <f t="shared" si="1"/>
        <v>0</v>
      </c>
      <c r="H24" s="516">
        <v>0</v>
      </c>
      <c r="I24" s="517">
        <f t="shared" si="9"/>
        <v>0</v>
      </c>
      <c r="J24" s="516">
        <v>15</v>
      </c>
      <c r="K24" s="517">
        <f t="shared" si="2"/>
        <v>3816.2355</v>
      </c>
      <c r="L24" s="516">
        <v>0</v>
      </c>
      <c r="M24" s="517">
        <f t="shared" si="3"/>
        <v>0</v>
      </c>
      <c r="N24" s="516">
        <v>85</v>
      </c>
      <c r="O24" s="517">
        <f t="shared" si="4"/>
        <v>21625.3345</v>
      </c>
      <c r="P24" s="516">
        <v>0</v>
      </c>
      <c r="Q24" s="517">
        <f t="shared" si="5"/>
        <v>0</v>
      </c>
      <c r="R24" s="521">
        <v>0</v>
      </c>
      <c r="S24" s="517">
        <f t="shared" si="6"/>
        <v>0</v>
      </c>
      <c r="T24" s="524">
        <f t="shared" si="7"/>
        <v>25441.57</v>
      </c>
      <c r="U24" s="329">
        <f t="shared" si="8"/>
        <v>1</v>
      </c>
    </row>
    <row r="25" spans="2:21" ht="15">
      <c r="B25" s="506" t="str">
        <f>Orçamento!B113</f>
        <v>9.00</v>
      </c>
      <c r="C25" s="509" t="str">
        <f>Orçamento!C113</f>
        <v>INSTALAÇÕES  HIDRO-SANITÁRIAS E ÁGUA PLUVIAL</v>
      </c>
      <c r="D25" s="500">
        <f t="shared" si="0"/>
        <v>0.07997482903368051</v>
      </c>
      <c r="E25" s="503">
        <f>Orçamento!K113</f>
        <v>70560.70000000001</v>
      </c>
      <c r="F25" s="503">
        <v>0</v>
      </c>
      <c r="G25" s="529">
        <f t="shared" si="1"/>
        <v>0</v>
      </c>
      <c r="H25" s="516">
        <v>5</v>
      </c>
      <c r="I25" s="517">
        <f t="shared" si="9"/>
        <v>3528.0350000000008</v>
      </c>
      <c r="J25" s="516">
        <v>25</v>
      </c>
      <c r="K25" s="517">
        <f t="shared" si="2"/>
        <v>17640.175000000003</v>
      </c>
      <c r="L25" s="516">
        <v>30</v>
      </c>
      <c r="M25" s="517">
        <f t="shared" si="3"/>
        <v>21168.210000000006</v>
      </c>
      <c r="N25" s="516">
        <v>15</v>
      </c>
      <c r="O25" s="517">
        <f t="shared" si="4"/>
        <v>10584.105000000003</v>
      </c>
      <c r="P25" s="516">
        <v>25</v>
      </c>
      <c r="Q25" s="517">
        <f t="shared" si="5"/>
        <v>17640.175000000003</v>
      </c>
      <c r="R25" s="521">
        <v>0</v>
      </c>
      <c r="S25" s="517">
        <f t="shared" si="6"/>
        <v>0</v>
      </c>
      <c r="T25" s="524">
        <f t="shared" si="7"/>
        <v>70560.70000000001</v>
      </c>
      <c r="U25" s="329">
        <f t="shared" si="8"/>
        <v>1</v>
      </c>
    </row>
    <row r="26" spans="2:21" ht="15">
      <c r="B26" s="506" t="str">
        <f>Orçamento!B167</f>
        <v>10.00</v>
      </c>
      <c r="C26" s="509" t="str">
        <f>Orçamento!C167</f>
        <v>INSTALAÇÃO ELÉTRICA</v>
      </c>
      <c r="D26" s="500">
        <f t="shared" si="0"/>
        <v>0.07832342640232391</v>
      </c>
      <c r="E26" s="503">
        <f>Orçamento!K167</f>
        <v>69103.68999999999</v>
      </c>
      <c r="F26" s="531">
        <v>5</v>
      </c>
      <c r="G26" s="529">
        <f t="shared" si="1"/>
        <v>3455.1844999999994</v>
      </c>
      <c r="H26" s="516">
        <v>10</v>
      </c>
      <c r="I26" s="517">
        <f t="shared" si="9"/>
        <v>6910.368999999999</v>
      </c>
      <c r="J26" s="516">
        <v>20</v>
      </c>
      <c r="K26" s="517">
        <f t="shared" si="2"/>
        <v>13820.737999999998</v>
      </c>
      <c r="L26" s="516">
        <v>5</v>
      </c>
      <c r="M26" s="517">
        <f t="shared" si="3"/>
        <v>3455.1844999999994</v>
      </c>
      <c r="N26" s="516">
        <v>50</v>
      </c>
      <c r="O26" s="517">
        <f t="shared" si="4"/>
        <v>34551.844999999994</v>
      </c>
      <c r="P26" s="516">
        <v>0</v>
      </c>
      <c r="Q26" s="517">
        <f t="shared" si="5"/>
        <v>0</v>
      </c>
      <c r="R26" s="521">
        <v>10</v>
      </c>
      <c r="S26" s="517">
        <f t="shared" si="6"/>
        <v>6910.368999999999</v>
      </c>
      <c r="T26" s="524">
        <f t="shared" si="7"/>
        <v>69103.68999999999</v>
      </c>
      <c r="U26" s="329">
        <f t="shared" si="8"/>
        <v>1</v>
      </c>
    </row>
    <row r="27" spans="2:21" ht="15">
      <c r="B27" s="506" t="str">
        <f>Orçamento!B223</f>
        <v>11.00</v>
      </c>
      <c r="C27" s="512" t="str">
        <f>Orçamento!C223</f>
        <v>REVESTIMENTO DE FORROS</v>
      </c>
      <c r="D27" s="500">
        <f t="shared" si="0"/>
        <v>0.00929630159188114</v>
      </c>
      <c r="E27" s="503">
        <f>Orçamento!K223</f>
        <v>8202</v>
      </c>
      <c r="F27" s="503">
        <v>0</v>
      </c>
      <c r="G27" s="529">
        <f t="shared" si="1"/>
        <v>0</v>
      </c>
      <c r="H27" s="516">
        <v>0</v>
      </c>
      <c r="I27" s="517">
        <f t="shared" si="9"/>
        <v>0</v>
      </c>
      <c r="J27" s="516">
        <v>15</v>
      </c>
      <c r="K27" s="517">
        <f t="shared" si="2"/>
        <v>1230.3</v>
      </c>
      <c r="L27" s="516">
        <v>85</v>
      </c>
      <c r="M27" s="517">
        <f t="shared" si="3"/>
        <v>6971.7</v>
      </c>
      <c r="N27" s="516">
        <v>0</v>
      </c>
      <c r="O27" s="517">
        <f t="shared" si="4"/>
        <v>0</v>
      </c>
      <c r="P27" s="516">
        <v>0</v>
      </c>
      <c r="Q27" s="517">
        <f t="shared" si="5"/>
        <v>0</v>
      </c>
      <c r="R27" s="521">
        <v>0</v>
      </c>
      <c r="S27" s="517">
        <f t="shared" si="6"/>
        <v>0</v>
      </c>
      <c r="T27" s="524">
        <f t="shared" si="7"/>
        <v>8202</v>
      </c>
      <c r="U27" s="329">
        <f t="shared" si="8"/>
        <v>1</v>
      </c>
    </row>
    <row r="28" spans="2:21" ht="15">
      <c r="B28" s="506" t="str">
        <f>Orçamento!B229</f>
        <v>12.00</v>
      </c>
      <c r="C28" s="509" t="str">
        <f>Orçamento!C229</f>
        <v>REVESTIMENTO DE PAREDES INTERNAS</v>
      </c>
      <c r="D28" s="500">
        <f t="shared" si="0"/>
        <v>0.054933491830628456</v>
      </c>
      <c r="E28" s="503">
        <f>Orçamento!K229</f>
        <v>48467.07</v>
      </c>
      <c r="F28" s="503">
        <v>0</v>
      </c>
      <c r="G28" s="529">
        <f t="shared" si="1"/>
        <v>0</v>
      </c>
      <c r="H28" s="516">
        <v>0</v>
      </c>
      <c r="I28" s="517">
        <f t="shared" si="9"/>
        <v>0</v>
      </c>
      <c r="J28" s="516">
        <v>25</v>
      </c>
      <c r="K28" s="517">
        <f t="shared" si="2"/>
        <v>12116.7675</v>
      </c>
      <c r="L28" s="516">
        <v>75</v>
      </c>
      <c r="M28" s="517">
        <f t="shared" si="3"/>
        <v>36350.3025</v>
      </c>
      <c r="N28" s="516">
        <v>0</v>
      </c>
      <c r="O28" s="517">
        <f t="shared" si="4"/>
        <v>0</v>
      </c>
      <c r="P28" s="516">
        <v>0</v>
      </c>
      <c r="Q28" s="517">
        <f t="shared" si="5"/>
        <v>0</v>
      </c>
      <c r="R28" s="521">
        <v>0</v>
      </c>
      <c r="S28" s="517">
        <f t="shared" si="6"/>
        <v>0</v>
      </c>
      <c r="T28" s="524">
        <f t="shared" si="7"/>
        <v>48467.07</v>
      </c>
      <c r="U28" s="329">
        <f t="shared" si="8"/>
        <v>1</v>
      </c>
    </row>
    <row r="29" spans="2:21" ht="15">
      <c r="B29" s="506" t="str">
        <f>Orçamento!B238</f>
        <v>13.00</v>
      </c>
      <c r="C29" s="509" t="str">
        <f>Orçamento!C238</f>
        <v>REVESTIMENTO DE PAREDES EXTERNAS</v>
      </c>
      <c r="D29" s="500">
        <f t="shared" si="0"/>
        <v>0.03845344541485879</v>
      </c>
      <c r="E29" s="503">
        <f>Orçamento!K238</f>
        <v>33926.95</v>
      </c>
      <c r="F29" s="503">
        <v>0</v>
      </c>
      <c r="G29" s="529">
        <f t="shared" si="1"/>
        <v>0</v>
      </c>
      <c r="H29" s="516">
        <v>0</v>
      </c>
      <c r="I29" s="517">
        <f t="shared" si="9"/>
        <v>0</v>
      </c>
      <c r="J29" s="516">
        <v>0</v>
      </c>
      <c r="K29" s="517">
        <f t="shared" si="2"/>
        <v>0</v>
      </c>
      <c r="L29" s="516">
        <v>100</v>
      </c>
      <c r="M29" s="517">
        <f t="shared" si="3"/>
        <v>33926.95</v>
      </c>
      <c r="N29" s="516">
        <v>0</v>
      </c>
      <c r="O29" s="517">
        <f t="shared" si="4"/>
        <v>0</v>
      </c>
      <c r="P29" s="516">
        <v>0</v>
      </c>
      <c r="Q29" s="517">
        <f t="shared" si="5"/>
        <v>0</v>
      </c>
      <c r="R29" s="521">
        <v>0</v>
      </c>
      <c r="S29" s="517">
        <f t="shared" si="6"/>
        <v>0</v>
      </c>
      <c r="T29" s="524">
        <f t="shared" si="7"/>
        <v>33926.95</v>
      </c>
      <c r="U29" s="329">
        <f t="shared" si="8"/>
        <v>1</v>
      </c>
    </row>
    <row r="30" spans="2:21" ht="15">
      <c r="B30" s="506" t="str">
        <f>Orçamento!B252</f>
        <v>14.00</v>
      </c>
      <c r="C30" s="509" t="str">
        <f>Orçamento!C252</f>
        <v>PAVIMENTAÇÃO</v>
      </c>
      <c r="D30" s="500">
        <f t="shared" si="0"/>
        <v>0.08343403476660383</v>
      </c>
      <c r="E30" s="503">
        <f>Orçamento!K252</f>
        <v>73612.70999999999</v>
      </c>
      <c r="F30" s="503">
        <v>0</v>
      </c>
      <c r="G30" s="529">
        <f t="shared" si="1"/>
        <v>0</v>
      </c>
      <c r="H30" s="516">
        <v>0</v>
      </c>
      <c r="I30" s="517">
        <f t="shared" si="9"/>
        <v>0</v>
      </c>
      <c r="J30" s="516">
        <v>0</v>
      </c>
      <c r="K30" s="517">
        <f t="shared" si="2"/>
        <v>0</v>
      </c>
      <c r="L30" s="516">
        <v>10</v>
      </c>
      <c r="M30" s="517">
        <f t="shared" si="3"/>
        <v>7361.270999999999</v>
      </c>
      <c r="N30" s="516">
        <v>90</v>
      </c>
      <c r="O30" s="517">
        <f t="shared" si="4"/>
        <v>66251.439</v>
      </c>
      <c r="P30" s="516">
        <v>0</v>
      </c>
      <c r="Q30" s="517">
        <f t="shared" si="5"/>
        <v>0</v>
      </c>
      <c r="R30" s="521">
        <v>0</v>
      </c>
      <c r="S30" s="517">
        <f t="shared" si="6"/>
        <v>0</v>
      </c>
      <c r="T30" s="524">
        <f t="shared" si="7"/>
        <v>73612.70999999999</v>
      </c>
      <c r="U30" s="329">
        <f t="shared" si="8"/>
        <v>1</v>
      </c>
    </row>
    <row r="31" spans="2:21" ht="15">
      <c r="B31" s="506" t="str">
        <f>Orçamento!B264</f>
        <v>15.00</v>
      </c>
      <c r="C31" s="509" t="str">
        <f>Orçamento!C264</f>
        <v>VIDROS</v>
      </c>
      <c r="D31" s="500">
        <f t="shared" si="0"/>
        <v>0.01554616593580984</v>
      </c>
      <c r="E31" s="503">
        <f>Orçamento!K264</f>
        <v>13716.169999999998</v>
      </c>
      <c r="F31" s="503">
        <v>0</v>
      </c>
      <c r="G31" s="529">
        <f t="shared" si="1"/>
        <v>0</v>
      </c>
      <c r="H31" s="516">
        <v>0</v>
      </c>
      <c r="I31" s="517">
        <f t="shared" si="9"/>
        <v>0</v>
      </c>
      <c r="J31" s="516">
        <v>0</v>
      </c>
      <c r="K31" s="517">
        <f t="shared" si="2"/>
        <v>0</v>
      </c>
      <c r="L31" s="516">
        <v>0</v>
      </c>
      <c r="M31" s="517">
        <f t="shared" si="3"/>
        <v>0</v>
      </c>
      <c r="N31" s="516">
        <v>0</v>
      </c>
      <c r="O31" s="517">
        <f t="shared" si="4"/>
        <v>0</v>
      </c>
      <c r="P31" s="516">
        <v>0</v>
      </c>
      <c r="Q31" s="517">
        <f t="shared" si="5"/>
        <v>0</v>
      </c>
      <c r="R31" s="521">
        <v>100</v>
      </c>
      <c r="S31" s="517">
        <f t="shared" si="6"/>
        <v>13716.169999999998</v>
      </c>
      <c r="T31" s="524">
        <f t="shared" si="7"/>
        <v>13716.169999999998</v>
      </c>
      <c r="U31" s="329">
        <f t="shared" si="8"/>
        <v>1</v>
      </c>
    </row>
    <row r="32" spans="2:21" ht="15">
      <c r="B32" s="506" t="str">
        <f>Orçamento!B269</f>
        <v>16.00</v>
      </c>
      <c r="C32" s="509" t="str">
        <f>Orçamento!C269</f>
        <v>PINTURA</v>
      </c>
      <c r="D32" s="500">
        <f t="shared" si="0"/>
        <v>0.06001253447931048</v>
      </c>
      <c r="E32" s="503">
        <f>Orçamento!K269</f>
        <v>52948.23999999999</v>
      </c>
      <c r="F32" s="503">
        <v>0</v>
      </c>
      <c r="G32" s="529">
        <f t="shared" si="1"/>
        <v>0</v>
      </c>
      <c r="H32" s="516">
        <v>0</v>
      </c>
      <c r="I32" s="517">
        <f t="shared" si="9"/>
        <v>0</v>
      </c>
      <c r="J32" s="516">
        <v>0</v>
      </c>
      <c r="K32" s="517">
        <f t="shared" si="2"/>
        <v>0</v>
      </c>
      <c r="L32" s="516">
        <v>0</v>
      </c>
      <c r="M32" s="517">
        <f t="shared" si="3"/>
        <v>0</v>
      </c>
      <c r="N32" s="516">
        <v>0</v>
      </c>
      <c r="O32" s="517">
        <f t="shared" si="4"/>
        <v>0</v>
      </c>
      <c r="P32" s="516">
        <v>35</v>
      </c>
      <c r="Q32" s="517">
        <f t="shared" si="5"/>
        <v>18531.884</v>
      </c>
      <c r="R32" s="521">
        <v>65</v>
      </c>
      <c r="S32" s="517">
        <f t="shared" si="6"/>
        <v>34416.356</v>
      </c>
      <c r="T32" s="524">
        <f t="shared" si="7"/>
        <v>52948.24</v>
      </c>
      <c r="U32" s="329">
        <f t="shared" si="8"/>
        <v>1.0000000000000002</v>
      </c>
    </row>
    <row r="33" spans="2:21" ht="15">
      <c r="B33" s="506" t="str">
        <f>Orçamento!B287</f>
        <v>17.00</v>
      </c>
      <c r="C33" s="509" t="str">
        <f>Orçamento!C287</f>
        <v>LIXO COMUM / LIXO HOSPITALAR / CENTRAL DE GASES</v>
      </c>
      <c r="D33" s="500">
        <f t="shared" si="0"/>
        <v>0.005401454981140761</v>
      </c>
      <c r="E33" s="503">
        <f>Orçamento!K287</f>
        <v>4765.63</v>
      </c>
      <c r="F33" s="503">
        <v>0</v>
      </c>
      <c r="G33" s="529">
        <f t="shared" si="1"/>
        <v>0</v>
      </c>
      <c r="H33" s="516">
        <v>0</v>
      </c>
      <c r="I33" s="517">
        <f t="shared" si="9"/>
        <v>0</v>
      </c>
      <c r="J33" s="516">
        <v>0</v>
      </c>
      <c r="K33" s="517">
        <f t="shared" si="2"/>
        <v>0</v>
      </c>
      <c r="L33" s="516">
        <v>0</v>
      </c>
      <c r="M33" s="517">
        <f t="shared" si="3"/>
        <v>0</v>
      </c>
      <c r="N33" s="516">
        <v>45</v>
      </c>
      <c r="O33" s="517">
        <f t="shared" si="4"/>
        <v>2144.5335</v>
      </c>
      <c r="P33" s="516">
        <v>55</v>
      </c>
      <c r="Q33" s="517">
        <f t="shared" si="5"/>
        <v>2621.0965</v>
      </c>
      <c r="R33" s="521">
        <v>0</v>
      </c>
      <c r="S33" s="517">
        <f t="shared" si="6"/>
        <v>0</v>
      </c>
      <c r="T33" s="524">
        <f t="shared" si="7"/>
        <v>4765.63</v>
      </c>
      <c r="U33" s="329">
        <f t="shared" si="8"/>
        <v>1</v>
      </c>
    </row>
    <row r="34" spans="2:21" ht="15">
      <c r="B34" s="506" t="str">
        <f>Orçamento!B303</f>
        <v>18.00</v>
      </c>
      <c r="C34" s="509" t="str">
        <f>Orçamento!C303</f>
        <v>INSTALAÇÕES DE GASES MEDICINAIS</v>
      </c>
      <c r="D34" s="500">
        <f t="shared" si="0"/>
        <v>0.017041553459372912</v>
      </c>
      <c r="E34" s="503">
        <f>Orçamento!K303</f>
        <v>15035.53</v>
      </c>
      <c r="F34" s="503">
        <v>0</v>
      </c>
      <c r="G34" s="529">
        <f t="shared" si="1"/>
        <v>0</v>
      </c>
      <c r="H34" s="516">
        <v>0</v>
      </c>
      <c r="I34" s="517">
        <f t="shared" si="9"/>
        <v>0</v>
      </c>
      <c r="J34" s="516">
        <v>0</v>
      </c>
      <c r="K34" s="517">
        <f t="shared" si="2"/>
        <v>0</v>
      </c>
      <c r="L34" s="516">
        <v>0</v>
      </c>
      <c r="M34" s="517">
        <f t="shared" si="3"/>
        <v>0</v>
      </c>
      <c r="N34" s="516">
        <v>0</v>
      </c>
      <c r="O34" s="517">
        <f t="shared" si="4"/>
        <v>0</v>
      </c>
      <c r="P34" s="516">
        <v>100</v>
      </c>
      <c r="Q34" s="517">
        <f t="shared" si="5"/>
        <v>15035.53</v>
      </c>
      <c r="R34" s="521">
        <v>0</v>
      </c>
      <c r="S34" s="517">
        <f t="shared" si="6"/>
        <v>0</v>
      </c>
      <c r="T34" s="524">
        <f t="shared" si="7"/>
        <v>15035.53</v>
      </c>
      <c r="U34" s="329">
        <f t="shared" si="8"/>
        <v>1</v>
      </c>
    </row>
    <row r="35" spans="2:21" ht="15">
      <c r="B35" s="506" t="str">
        <f>Orçamento!B323</f>
        <v>19.00</v>
      </c>
      <c r="C35" s="509" t="str">
        <f>Orçamento!C323</f>
        <v>URBANIZAÇÃO</v>
      </c>
      <c r="D35" s="500">
        <f t="shared" si="0"/>
        <v>0.016309852237881724</v>
      </c>
      <c r="E35" s="503">
        <f>Orçamento!K323</f>
        <v>14389.96</v>
      </c>
      <c r="F35" s="503">
        <v>0</v>
      </c>
      <c r="G35" s="529">
        <f t="shared" si="1"/>
        <v>0</v>
      </c>
      <c r="H35" s="516">
        <v>0</v>
      </c>
      <c r="I35" s="517">
        <f t="shared" si="9"/>
        <v>0</v>
      </c>
      <c r="J35" s="516">
        <v>0</v>
      </c>
      <c r="K35" s="517">
        <f t="shared" si="2"/>
        <v>0</v>
      </c>
      <c r="L35" s="516">
        <v>0</v>
      </c>
      <c r="M35" s="517">
        <f t="shared" si="3"/>
        <v>0</v>
      </c>
      <c r="N35" s="516">
        <v>0</v>
      </c>
      <c r="O35" s="517">
        <f t="shared" si="4"/>
        <v>0</v>
      </c>
      <c r="P35" s="516">
        <v>50</v>
      </c>
      <c r="Q35" s="517">
        <f t="shared" si="5"/>
        <v>7194.98</v>
      </c>
      <c r="R35" s="521">
        <v>50</v>
      </c>
      <c r="S35" s="517">
        <f t="shared" si="6"/>
        <v>7194.98</v>
      </c>
      <c r="T35" s="524">
        <f t="shared" si="7"/>
        <v>14389.96</v>
      </c>
      <c r="U35" s="329">
        <f t="shared" si="8"/>
        <v>1</v>
      </c>
    </row>
    <row r="36" spans="2:21" ht="15">
      <c r="B36" s="506" t="str">
        <f>Orçamento!B329</f>
        <v>20.00</v>
      </c>
      <c r="C36" s="509" t="str">
        <f>Orçamento!C329</f>
        <v>MARQUISE</v>
      </c>
      <c r="D36" s="500">
        <f t="shared" si="0"/>
        <v>0.004458756502353233</v>
      </c>
      <c r="E36" s="503">
        <f>Orçamento!K329</f>
        <v>3933.9</v>
      </c>
      <c r="F36" s="503">
        <v>0</v>
      </c>
      <c r="G36" s="529">
        <f t="shared" si="1"/>
        <v>0</v>
      </c>
      <c r="H36" s="516">
        <v>0</v>
      </c>
      <c r="I36" s="517">
        <f t="shared" si="9"/>
        <v>0</v>
      </c>
      <c r="J36" s="516">
        <v>0</v>
      </c>
      <c r="K36" s="517">
        <f t="shared" si="2"/>
        <v>0</v>
      </c>
      <c r="L36" s="516">
        <v>0</v>
      </c>
      <c r="M36" s="517">
        <f t="shared" si="3"/>
        <v>0</v>
      </c>
      <c r="N36" s="516">
        <v>0</v>
      </c>
      <c r="O36" s="517">
        <f t="shared" si="4"/>
        <v>0</v>
      </c>
      <c r="P36" s="516">
        <v>0</v>
      </c>
      <c r="Q36" s="517">
        <f t="shared" si="5"/>
        <v>0</v>
      </c>
      <c r="R36" s="521">
        <v>100</v>
      </c>
      <c r="S36" s="517">
        <f t="shared" si="6"/>
        <v>3933.9</v>
      </c>
      <c r="T36" s="524">
        <f t="shared" si="7"/>
        <v>3933.9</v>
      </c>
      <c r="U36" s="329">
        <f t="shared" si="8"/>
        <v>1</v>
      </c>
    </row>
    <row r="37" spans="2:21" ht="15.75" thickBot="1">
      <c r="B37" s="507" t="str">
        <f>Orçamento!B336</f>
        <v>21.00</v>
      </c>
      <c r="C37" s="513" t="str">
        <f>Orçamento!C336</f>
        <v>DIVERSOS</v>
      </c>
      <c r="D37" s="501">
        <f t="shared" si="0"/>
        <v>0.018988041694173327</v>
      </c>
      <c r="E37" s="504">
        <f>Orçamento!K336</f>
        <v>16752.89</v>
      </c>
      <c r="F37" s="504">
        <v>0</v>
      </c>
      <c r="G37" s="530">
        <f t="shared" si="1"/>
        <v>0</v>
      </c>
      <c r="H37" s="518">
        <v>0</v>
      </c>
      <c r="I37" s="519">
        <f t="shared" si="9"/>
        <v>0</v>
      </c>
      <c r="J37" s="518">
        <v>25</v>
      </c>
      <c r="K37" s="519">
        <f t="shared" si="2"/>
        <v>4188.2225</v>
      </c>
      <c r="L37" s="518">
        <v>25</v>
      </c>
      <c r="M37" s="519">
        <f t="shared" si="3"/>
        <v>4188.2225</v>
      </c>
      <c r="N37" s="518">
        <v>0</v>
      </c>
      <c r="O37" s="519">
        <f t="shared" si="4"/>
        <v>0</v>
      </c>
      <c r="P37" s="518">
        <v>0</v>
      </c>
      <c r="Q37" s="519">
        <f t="shared" si="5"/>
        <v>0</v>
      </c>
      <c r="R37" s="522">
        <v>50</v>
      </c>
      <c r="S37" s="519">
        <f t="shared" si="6"/>
        <v>8376.445</v>
      </c>
      <c r="T37" s="525">
        <f t="shared" si="7"/>
        <v>16752.89</v>
      </c>
      <c r="U37" s="329">
        <f t="shared" si="8"/>
        <v>1</v>
      </c>
    </row>
    <row r="38" spans="2:20" ht="4.5" customHeight="1" thickBot="1">
      <c r="B38" s="535"/>
      <c r="C38" s="532"/>
      <c r="D38" s="537"/>
      <c r="E38" s="541"/>
      <c r="F38" s="541"/>
      <c r="G38" s="541"/>
      <c r="H38" s="537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5"/>
    </row>
    <row r="39" spans="2:21" ht="15.75" thickBot="1">
      <c r="B39" s="536"/>
      <c r="C39" s="533" t="s">
        <v>29</v>
      </c>
      <c r="D39" s="538"/>
      <c r="E39" s="542">
        <f>SUM(E17:E37)</f>
        <v>882286.35</v>
      </c>
      <c r="F39" s="544"/>
      <c r="G39" s="544">
        <f>SUM(G17:G37)</f>
        <v>83909.26350000003</v>
      </c>
      <c r="H39" s="544"/>
      <c r="I39" s="542">
        <f>SUM(I17:I37)</f>
        <v>125739.38400000002</v>
      </c>
      <c r="J39" s="544"/>
      <c r="K39" s="544">
        <f>SUM(K17:K37)</f>
        <v>227092.1875</v>
      </c>
      <c r="L39" s="544"/>
      <c r="M39" s="544">
        <f>SUM(M17:M37)</f>
        <v>133061.4925</v>
      </c>
      <c r="N39" s="544"/>
      <c r="O39" s="544">
        <f>SUM(O17:O37)</f>
        <v>172736.649</v>
      </c>
      <c r="P39" s="544"/>
      <c r="Q39" s="544">
        <f>SUM(Q17:Q37)</f>
        <v>65199.1535</v>
      </c>
      <c r="R39" s="544"/>
      <c r="S39" s="544">
        <f>SUM(S17:S37)</f>
        <v>74548.22</v>
      </c>
      <c r="T39" s="544">
        <f>SUM(T17:T37)</f>
        <v>882286.35</v>
      </c>
      <c r="U39" s="186">
        <f>SUM(G39:S39)</f>
        <v>882286.3500000001</v>
      </c>
    </row>
    <row r="40" spans="2:20" ht="4.5" customHeight="1" thickBot="1">
      <c r="B40" s="532"/>
      <c r="C40" s="534"/>
      <c r="D40" s="539"/>
      <c r="E40" s="541"/>
      <c r="F40" s="545"/>
      <c r="G40" s="541"/>
      <c r="H40" s="539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</row>
    <row r="41" spans="2:20" ht="15.75" thickBot="1">
      <c r="B41" s="536"/>
      <c r="C41" s="533" t="s">
        <v>30</v>
      </c>
      <c r="D41" s="540">
        <f>SUM(D17:D37)</f>
        <v>1</v>
      </c>
      <c r="E41" s="543"/>
      <c r="F41" s="546">
        <f>G39/$E39</f>
        <v>0.09510434282475302</v>
      </c>
      <c r="G41" s="547"/>
      <c r="H41" s="546">
        <f>I39/$E39</f>
        <v>0.14251539083654646</v>
      </c>
      <c r="I41" s="547"/>
      <c r="J41" s="546">
        <f>K39/$E39</f>
        <v>0.25739057109973423</v>
      </c>
      <c r="K41" s="547"/>
      <c r="L41" s="546">
        <f>M39/$E39</f>
        <v>0.15081440679661426</v>
      </c>
      <c r="M41" s="547"/>
      <c r="N41" s="546">
        <f>O39/$E39</f>
        <v>0.19578297794134525</v>
      </c>
      <c r="O41" s="547"/>
      <c r="P41" s="546">
        <f>Q39/$E39</f>
        <v>0.07389795104503204</v>
      </c>
      <c r="Q41" s="547"/>
      <c r="R41" s="546">
        <f>S39/$E39</f>
        <v>0.08449435945597482</v>
      </c>
      <c r="S41" s="547"/>
      <c r="T41" s="548">
        <f>SUM(F41:R41)</f>
        <v>1</v>
      </c>
    </row>
    <row r="42" spans="2:22" ht="15">
      <c r="B42" s="44"/>
      <c r="C42" s="44"/>
      <c r="D42" s="45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186"/>
    </row>
    <row r="43" spans="2:20" ht="15">
      <c r="B43" s="44"/>
      <c r="C43" s="44"/>
      <c r="D43" s="45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ht="15" customHeight="1">
      <c r="B44" s="823" t="str">
        <f>Orçamento!B348</f>
        <v>Teresina (PI), 23 de Abril de 2015</v>
      </c>
      <c r="C44" s="823"/>
      <c r="D44" s="46"/>
      <c r="E44" s="47"/>
      <c r="F44" s="48"/>
      <c r="G44" s="49"/>
      <c r="H44" s="48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5"/>
    </row>
    <row r="45" spans="2:20" ht="15">
      <c r="B45" s="51"/>
      <c r="C45" s="51"/>
      <c r="D45" s="46"/>
      <c r="E45" s="47"/>
      <c r="F45" s="48"/>
      <c r="G45" s="49"/>
      <c r="H45" s="48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45"/>
    </row>
    <row r="46" spans="2:20" ht="15">
      <c r="B46" s="52"/>
      <c r="C46" s="52"/>
      <c r="D46" s="53"/>
      <c r="E46" s="815"/>
      <c r="F46" s="815"/>
      <c r="G46" s="53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/>
    </row>
    <row r="47" spans="2:20" ht="15">
      <c r="B47" s="52"/>
      <c r="C47" s="52"/>
      <c r="D47" s="53"/>
      <c r="E47" s="56"/>
      <c r="F47" s="56"/>
      <c r="G47" s="57"/>
      <c r="H47" s="58"/>
      <c r="I47" s="58"/>
      <c r="J47" s="809"/>
      <c r="K47" s="809"/>
      <c r="L47" s="323"/>
      <c r="M47" s="323"/>
      <c r="N47" s="440"/>
      <c r="O47" s="440"/>
      <c r="P47" s="440"/>
      <c r="Q47" s="440"/>
      <c r="R47" s="191"/>
      <c r="S47" s="191"/>
      <c r="T47" s="45"/>
    </row>
    <row r="48" spans="2:20" ht="15">
      <c r="B48" s="52"/>
      <c r="C48" s="52"/>
      <c r="D48" s="53"/>
      <c r="E48" s="808"/>
      <c r="F48" s="808"/>
      <c r="G48" s="53"/>
      <c r="H48" s="271"/>
      <c r="I48" s="271"/>
      <c r="J48" s="809"/>
      <c r="K48" s="809"/>
      <c r="L48" s="323"/>
      <c r="M48" s="323"/>
      <c r="N48" s="440"/>
      <c r="O48" s="440"/>
      <c r="P48" s="440"/>
      <c r="Q48" s="440"/>
      <c r="R48" s="191"/>
      <c r="S48" s="191"/>
      <c r="T48" s="45"/>
    </row>
    <row r="49" spans="2:20" ht="15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2:20" ht="1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2:20" ht="15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</sheetData>
  <sheetProtection/>
  <mergeCells count="25">
    <mergeCell ref="C14:C15"/>
    <mergeCell ref="F9:T9"/>
    <mergeCell ref="T14:T15"/>
    <mergeCell ref="J47:K47"/>
    <mergeCell ref="J14:K14"/>
    <mergeCell ref="B44:C44"/>
    <mergeCell ref="B14:B15"/>
    <mergeCell ref="R14:S14"/>
    <mergeCell ref="N14:O14"/>
    <mergeCell ref="E48:F48"/>
    <mergeCell ref="J48:K48"/>
    <mergeCell ref="F10:T10"/>
    <mergeCell ref="H14:I14"/>
    <mergeCell ref="E46:F46"/>
    <mergeCell ref="D14:D15"/>
    <mergeCell ref="F14:G14"/>
    <mergeCell ref="E14:E15"/>
    <mergeCell ref="L14:M14"/>
    <mergeCell ref="P14:Q14"/>
    <mergeCell ref="F2:T3"/>
    <mergeCell ref="F4:T5"/>
    <mergeCell ref="F6:T7"/>
    <mergeCell ref="B9:E9"/>
    <mergeCell ref="B10:E10"/>
    <mergeCell ref="B12:T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757"/>
  <sheetViews>
    <sheetView tabSelected="1" view="pageBreakPreview" zoomScale="60" zoomScaleNormal="80" workbookViewId="0" topLeftCell="A13">
      <pane ySplit="465" topLeftCell="A79" activePane="bottomLeft" state="split"/>
      <selection pane="topLeft" activeCell="F6" sqref="F6:L7"/>
      <selection pane="bottomLeft" activeCell="E704" sqref="E704"/>
    </sheetView>
  </sheetViews>
  <sheetFormatPr defaultColWidth="9.140625" defaultRowHeight="15"/>
  <cols>
    <col min="2" max="2" width="11.421875" style="0" customWidth="1"/>
    <col min="3" max="3" width="56.8515625" style="0" customWidth="1"/>
    <col min="4" max="4" width="8.140625" style="0" customWidth="1"/>
    <col min="5" max="5" width="53.421875" style="0" customWidth="1"/>
    <col min="6" max="6" width="29.421875" style="0" customWidth="1"/>
    <col min="7" max="10" width="16.7109375" style="0" customWidth="1"/>
    <col min="11" max="11" width="17.421875" style="0" customWidth="1"/>
    <col min="12" max="12" width="16.7109375" style="0" customWidth="1"/>
    <col min="14" max="14" width="17.140625" style="0" customWidth="1"/>
    <col min="18" max="18" width="15.00390625" style="0" customWidth="1"/>
  </cols>
  <sheetData>
    <row r="1" spans="2:14" ht="15.75" customHeight="1">
      <c r="B1" s="26"/>
      <c r="C1" s="20"/>
      <c r="D1" s="20"/>
      <c r="E1" s="20"/>
      <c r="F1" s="20"/>
      <c r="G1" s="27"/>
      <c r="H1" s="28"/>
      <c r="I1" s="28"/>
      <c r="J1" s="29"/>
      <c r="K1" s="29"/>
      <c r="L1" s="20"/>
      <c r="M1" s="20"/>
      <c r="N1" s="20"/>
    </row>
    <row r="2" spans="2:15" ht="18" customHeight="1">
      <c r="B2" s="824"/>
      <c r="C2" s="825"/>
      <c r="D2" s="824"/>
      <c r="E2" s="825"/>
      <c r="F2" s="830" t="s">
        <v>47</v>
      </c>
      <c r="G2" s="830"/>
      <c r="H2" s="830"/>
      <c r="I2" s="830"/>
      <c r="J2" s="830"/>
      <c r="K2" s="830"/>
      <c r="L2" s="831"/>
      <c r="M2" s="59"/>
      <c r="N2" s="59"/>
      <c r="O2" s="60"/>
    </row>
    <row r="3" spans="2:15" ht="18" customHeight="1">
      <c r="B3" s="826"/>
      <c r="C3" s="827"/>
      <c r="D3" s="826"/>
      <c r="E3" s="827"/>
      <c r="F3" s="832"/>
      <c r="G3" s="832"/>
      <c r="H3" s="832"/>
      <c r="I3" s="832"/>
      <c r="J3" s="832"/>
      <c r="K3" s="832"/>
      <c r="L3" s="833"/>
      <c r="M3" s="59"/>
      <c r="N3" s="59"/>
      <c r="O3" s="60"/>
    </row>
    <row r="4" spans="2:15" ht="18" customHeight="1">
      <c r="B4" s="826"/>
      <c r="C4" s="827"/>
      <c r="D4" s="826"/>
      <c r="E4" s="827"/>
      <c r="F4" s="835" t="s">
        <v>48</v>
      </c>
      <c r="G4" s="835"/>
      <c r="H4" s="835"/>
      <c r="I4" s="835"/>
      <c r="J4" s="835"/>
      <c r="K4" s="835"/>
      <c r="L4" s="836"/>
      <c r="M4" s="61"/>
      <c r="N4" s="61"/>
      <c r="O4" s="60"/>
    </row>
    <row r="5" spans="2:21" ht="18" customHeight="1">
      <c r="B5" s="826"/>
      <c r="C5" s="827"/>
      <c r="D5" s="826"/>
      <c r="E5" s="827"/>
      <c r="F5" s="837"/>
      <c r="G5" s="837"/>
      <c r="H5" s="837"/>
      <c r="I5" s="837"/>
      <c r="J5" s="837"/>
      <c r="K5" s="837"/>
      <c r="L5" s="838"/>
      <c r="M5" s="61"/>
      <c r="N5" s="61"/>
      <c r="O5" s="60"/>
      <c r="P5" s="60"/>
      <c r="Q5" s="60"/>
      <c r="R5" s="60"/>
      <c r="S5" s="60"/>
      <c r="T5" s="60"/>
      <c r="U5" s="60"/>
    </row>
    <row r="6" spans="2:21" ht="18" customHeight="1">
      <c r="B6" s="826"/>
      <c r="C6" s="827"/>
      <c r="D6" s="826"/>
      <c r="E6" s="827"/>
      <c r="F6" s="839" t="s">
        <v>35</v>
      </c>
      <c r="G6" s="839"/>
      <c r="H6" s="839"/>
      <c r="I6" s="839"/>
      <c r="J6" s="839"/>
      <c r="K6" s="839"/>
      <c r="L6" s="840"/>
      <c r="M6" s="62"/>
      <c r="N6" s="62"/>
      <c r="O6" s="60"/>
      <c r="P6" s="60"/>
      <c r="Q6" s="60"/>
      <c r="R6" s="60"/>
      <c r="S6" s="60"/>
      <c r="T6" s="60"/>
      <c r="U6" s="60"/>
    </row>
    <row r="7" spans="2:21" ht="18" customHeight="1">
      <c r="B7" s="828"/>
      <c r="C7" s="829"/>
      <c r="D7" s="828"/>
      <c r="E7" s="829"/>
      <c r="F7" s="841"/>
      <c r="G7" s="841"/>
      <c r="H7" s="841"/>
      <c r="I7" s="841"/>
      <c r="J7" s="841"/>
      <c r="K7" s="841"/>
      <c r="L7" s="842"/>
      <c r="M7" s="62"/>
      <c r="N7" s="62"/>
      <c r="O7" s="60"/>
      <c r="P7" s="60"/>
      <c r="Q7" s="843"/>
      <c r="R7" s="843"/>
      <c r="S7" s="843"/>
      <c r="T7" s="843"/>
      <c r="U7" s="60"/>
    </row>
    <row r="8" spans="2:20" s="66" customFormat="1" ht="4.5" customHeight="1">
      <c r="B8" s="63"/>
      <c r="C8" s="63"/>
      <c r="D8" s="63"/>
      <c r="E8" s="63"/>
      <c r="F8" s="64"/>
      <c r="G8" s="64"/>
      <c r="H8" s="64"/>
      <c r="I8" s="64"/>
      <c r="J8" s="64"/>
      <c r="K8" s="64"/>
      <c r="L8" s="64"/>
      <c r="M8" s="65"/>
      <c r="N8" s="65"/>
      <c r="Q8" s="843"/>
      <c r="R8" s="843"/>
      <c r="S8" s="843"/>
      <c r="T8" s="843"/>
    </row>
    <row r="9" spans="2:21" ht="24" customHeight="1">
      <c r="B9" s="844" t="s">
        <v>107</v>
      </c>
      <c r="C9" s="844"/>
      <c r="D9" s="844"/>
      <c r="E9" s="844"/>
      <c r="F9" s="845" t="s">
        <v>1135</v>
      </c>
      <c r="G9" s="845"/>
      <c r="H9" s="845"/>
      <c r="I9" s="845"/>
      <c r="J9" s="845"/>
      <c r="K9" s="845"/>
      <c r="L9" s="845"/>
      <c r="M9" s="67"/>
      <c r="N9" s="67"/>
      <c r="O9" s="60"/>
      <c r="P9" s="60"/>
      <c r="Q9" s="843"/>
      <c r="R9" s="843"/>
      <c r="S9" s="843"/>
      <c r="T9" s="843"/>
      <c r="U9" s="60"/>
    </row>
    <row r="10" spans="2:21" ht="24" customHeight="1">
      <c r="B10" s="846" t="s">
        <v>108</v>
      </c>
      <c r="C10" s="844"/>
      <c r="D10" s="844"/>
      <c r="E10" s="844"/>
      <c r="F10" s="847" t="s">
        <v>596</v>
      </c>
      <c r="G10" s="847"/>
      <c r="H10" s="847"/>
      <c r="I10" s="847"/>
      <c r="J10" s="847"/>
      <c r="K10" s="847"/>
      <c r="L10" s="847"/>
      <c r="M10" s="68"/>
      <c r="N10" s="68"/>
      <c r="O10" s="60"/>
      <c r="P10" s="60"/>
      <c r="Q10" s="843"/>
      <c r="R10" s="843"/>
      <c r="S10" s="843"/>
      <c r="T10" s="843"/>
      <c r="U10" s="60"/>
    </row>
    <row r="11" spans="2:21" ht="4.5" customHeight="1" thickBot="1"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5"/>
      <c r="P11" s="60"/>
      <c r="Q11" s="843"/>
      <c r="R11" s="843"/>
      <c r="S11" s="843"/>
      <c r="T11" s="843"/>
      <c r="U11" s="60"/>
    </row>
    <row r="12" spans="2:21" ht="24.75" customHeight="1" thickBot="1">
      <c r="B12" s="848" t="s">
        <v>52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50"/>
      <c r="M12" s="69"/>
      <c r="N12" s="69"/>
      <c r="P12" s="60"/>
      <c r="Q12" s="843"/>
      <c r="R12" s="843"/>
      <c r="S12" s="843"/>
      <c r="T12" s="843"/>
      <c r="U12" s="60"/>
    </row>
    <row r="13" spans="2:20" s="60" customFormat="1" ht="4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9"/>
      <c r="N13" s="69"/>
      <c r="Q13" s="843"/>
      <c r="R13" s="843"/>
      <c r="S13" s="843"/>
      <c r="T13" s="843"/>
    </row>
    <row r="14" spans="2:21" ht="18" customHeight="1">
      <c r="B14" s="497" t="s">
        <v>16</v>
      </c>
      <c r="C14" s="75" t="s">
        <v>17</v>
      </c>
      <c r="D14" s="75" t="s">
        <v>49</v>
      </c>
      <c r="E14" s="76" t="s">
        <v>53</v>
      </c>
      <c r="F14" s="498" t="s">
        <v>133</v>
      </c>
      <c r="G14" s="498" t="s">
        <v>54</v>
      </c>
      <c r="H14" s="498" t="s">
        <v>55</v>
      </c>
      <c r="I14" s="77" t="s">
        <v>56</v>
      </c>
      <c r="J14" s="498" t="s">
        <v>57</v>
      </c>
      <c r="K14" s="77" t="s">
        <v>134</v>
      </c>
      <c r="L14" s="78" t="s">
        <v>15</v>
      </c>
      <c r="M14" s="69"/>
      <c r="N14" s="69"/>
      <c r="P14" s="60"/>
      <c r="Q14" s="843"/>
      <c r="R14" s="843"/>
      <c r="S14" s="843"/>
      <c r="T14" s="843"/>
      <c r="U14" s="60"/>
    </row>
    <row r="15" spans="2:20" s="66" customFormat="1" ht="4.5" customHeight="1">
      <c r="B15" s="72"/>
      <c r="C15" s="72"/>
      <c r="D15" s="72"/>
      <c r="E15" s="72"/>
      <c r="F15" s="73"/>
      <c r="G15" s="73"/>
      <c r="H15" s="73"/>
      <c r="I15" s="73"/>
      <c r="J15" s="73"/>
      <c r="K15" s="73"/>
      <c r="L15" s="73"/>
      <c r="M15" s="71"/>
      <c r="N15" s="71"/>
      <c r="Q15" s="843"/>
      <c r="R15" s="843"/>
      <c r="S15" s="843"/>
      <c r="T15" s="843"/>
    </row>
    <row r="16" spans="2:20" s="66" customFormat="1" ht="18" customHeight="1">
      <c r="B16" s="74" t="str">
        <f>Orçamento!B25</f>
        <v>2.00</v>
      </c>
      <c r="C16" s="75" t="str">
        <f>Orçamento!C25</f>
        <v>RETIRADAS E DEMOLIÇÕES </v>
      </c>
      <c r="D16" s="75"/>
      <c r="E16" s="76"/>
      <c r="F16" s="77"/>
      <c r="G16" s="77"/>
      <c r="H16" s="77"/>
      <c r="I16" s="77"/>
      <c r="J16" s="77"/>
      <c r="K16" s="77"/>
      <c r="L16" s="78"/>
      <c r="M16" s="71"/>
      <c r="N16" s="71"/>
      <c r="Q16" s="357"/>
      <c r="R16" s="357"/>
      <c r="S16" s="357"/>
      <c r="T16" s="357"/>
    </row>
    <row r="17" spans="2:20" s="66" customFormat="1" ht="18" customHeight="1">
      <c r="B17" s="108" t="str">
        <f>Orçamento!B26</f>
        <v>2.1</v>
      </c>
      <c r="C17" s="109" t="str">
        <f>Orçamento!C26</f>
        <v>Demolição de alvenaria de tijolos furados s/reaproveitamento</v>
      </c>
      <c r="D17" s="439" t="s">
        <v>763</v>
      </c>
      <c r="E17" s="110"/>
      <c r="F17" s="111"/>
      <c r="G17" s="111"/>
      <c r="H17" s="111"/>
      <c r="I17" s="111"/>
      <c r="J17" s="111"/>
      <c r="K17" s="111"/>
      <c r="L17" s="112"/>
      <c r="M17" s="71"/>
      <c r="N17" s="71"/>
      <c r="Q17" s="357"/>
      <c r="R17" s="357"/>
      <c r="S17" s="357"/>
      <c r="T17" s="357"/>
    </row>
    <row r="18" spans="2:20" s="66" customFormat="1" ht="18" customHeight="1">
      <c r="B18" s="133"/>
      <c r="C18" s="126"/>
      <c r="D18" s="192"/>
      <c r="E18" s="126" t="s">
        <v>1095</v>
      </c>
      <c r="F18" s="88">
        <f>4.6*2+8.3*2</f>
        <v>25.8</v>
      </c>
      <c r="G18" s="88">
        <v>0.15</v>
      </c>
      <c r="H18" s="88">
        <v>3</v>
      </c>
      <c r="I18" s="131"/>
      <c r="J18" s="88">
        <f>F18*G18*H18</f>
        <v>11.61</v>
      </c>
      <c r="K18" s="131"/>
      <c r="L18" s="89">
        <f>J18</f>
        <v>11.61</v>
      </c>
      <c r="M18" s="71"/>
      <c r="N18" s="71"/>
      <c r="Q18" s="357"/>
      <c r="R18" s="357"/>
      <c r="S18" s="357"/>
      <c r="T18" s="357"/>
    </row>
    <row r="19" spans="2:20" s="66" customFormat="1" ht="18" customHeight="1">
      <c r="B19" s="133"/>
      <c r="C19" s="192"/>
      <c r="D19" s="192"/>
      <c r="E19" s="126" t="s">
        <v>1096</v>
      </c>
      <c r="F19" s="88">
        <v>73.4</v>
      </c>
      <c r="G19" s="88">
        <v>0.15</v>
      </c>
      <c r="H19" s="88">
        <v>3</v>
      </c>
      <c r="I19" s="131"/>
      <c r="J19" s="88">
        <f>F19*G19*H19</f>
        <v>33.03</v>
      </c>
      <c r="K19" s="131"/>
      <c r="L19" s="89">
        <f>J19</f>
        <v>33.03</v>
      </c>
      <c r="M19" s="71"/>
      <c r="N19" s="71"/>
      <c r="Q19" s="357"/>
      <c r="R19" s="357"/>
      <c r="S19" s="357"/>
      <c r="T19" s="357"/>
    </row>
    <row r="20" spans="2:20" s="66" customFormat="1" ht="18" customHeight="1">
      <c r="B20" s="133"/>
      <c r="C20" s="192"/>
      <c r="D20" s="192"/>
      <c r="E20" s="126" t="s">
        <v>764</v>
      </c>
      <c r="F20" s="88">
        <v>25.87</v>
      </c>
      <c r="G20" s="88">
        <v>0.15</v>
      </c>
      <c r="H20" s="88">
        <v>3</v>
      </c>
      <c r="I20" s="131"/>
      <c r="J20" s="88">
        <f>F20*G20*H20</f>
        <v>11.6415</v>
      </c>
      <c r="K20" s="131"/>
      <c r="L20" s="89">
        <f>J20</f>
        <v>11.6415</v>
      </c>
      <c r="M20" s="71"/>
      <c r="N20" s="71"/>
      <c r="Q20" s="357"/>
      <c r="R20" s="357"/>
      <c r="S20" s="357"/>
      <c r="T20" s="357"/>
    </row>
    <row r="21" spans="2:20" s="66" customFormat="1" ht="18" customHeight="1">
      <c r="B21" s="150"/>
      <c r="C21" s="125"/>
      <c r="D21" s="125"/>
      <c r="E21" s="125"/>
      <c r="F21" s="114"/>
      <c r="G21" s="114"/>
      <c r="H21" s="114"/>
      <c r="I21" s="114"/>
      <c r="J21" s="114"/>
      <c r="K21" s="114"/>
      <c r="L21" s="97">
        <f>SUM(L18:L20)</f>
        <v>56.2815</v>
      </c>
      <c r="M21" s="71"/>
      <c r="N21" s="71"/>
      <c r="Q21" s="357"/>
      <c r="R21" s="357"/>
      <c r="S21" s="357"/>
      <c r="T21" s="357"/>
    </row>
    <row r="22" spans="2:20" s="66" customFormat="1" ht="18" customHeight="1">
      <c r="B22" s="108" t="str">
        <f>Orçamento!B27</f>
        <v>2.2</v>
      </c>
      <c r="C22" s="109" t="str">
        <f>Orçamento!C27</f>
        <v>Demolição de telha cerâmica</v>
      </c>
      <c r="D22" s="439" t="s">
        <v>39</v>
      </c>
      <c r="E22" s="110"/>
      <c r="F22" s="111"/>
      <c r="G22" s="111"/>
      <c r="H22" s="111"/>
      <c r="I22" s="111"/>
      <c r="J22" s="111"/>
      <c r="K22" s="111"/>
      <c r="L22" s="112"/>
      <c r="M22" s="71"/>
      <c r="N22" s="71"/>
      <c r="Q22" s="357"/>
      <c r="R22" s="357"/>
      <c r="S22" s="357"/>
      <c r="T22" s="357"/>
    </row>
    <row r="23" spans="2:20" s="66" customFormat="1" ht="18" customHeight="1">
      <c r="B23" s="133"/>
      <c r="C23" s="192"/>
      <c r="D23" s="192"/>
      <c r="E23" s="126" t="s">
        <v>1095</v>
      </c>
      <c r="F23" s="88">
        <v>8.3</v>
      </c>
      <c r="G23" s="88">
        <v>4.6</v>
      </c>
      <c r="H23" s="88"/>
      <c r="I23" s="88">
        <f>F23*G23</f>
        <v>38.18</v>
      </c>
      <c r="J23" s="131"/>
      <c r="K23" s="131"/>
      <c r="L23" s="89">
        <f>I23</f>
        <v>38.18</v>
      </c>
      <c r="M23" s="71"/>
      <c r="N23" s="71"/>
      <c r="Q23" s="357"/>
      <c r="R23" s="357"/>
      <c r="S23" s="357"/>
      <c r="T23" s="357"/>
    </row>
    <row r="24" spans="2:20" s="66" customFormat="1" ht="18" customHeight="1">
      <c r="B24" s="150"/>
      <c r="C24" s="125"/>
      <c r="D24" s="125"/>
      <c r="E24" s="125"/>
      <c r="F24" s="114"/>
      <c r="G24" s="114"/>
      <c r="H24" s="114"/>
      <c r="I24" s="114"/>
      <c r="J24" s="114"/>
      <c r="K24" s="114"/>
      <c r="L24" s="97">
        <f>SUM(L23:L23)</f>
        <v>38.18</v>
      </c>
      <c r="M24" s="71"/>
      <c r="N24" s="71"/>
      <c r="Q24" s="357"/>
      <c r="R24" s="357"/>
      <c r="S24" s="357"/>
      <c r="T24" s="357"/>
    </row>
    <row r="25" spans="2:20" s="66" customFormat="1" ht="18" customHeight="1">
      <c r="B25" s="108" t="str">
        <f>Orçamento!B28</f>
        <v>2.3</v>
      </c>
      <c r="C25" s="109" t="str">
        <f>Orçamento!C28</f>
        <v>Demolição de estrutura de madeira do telhado</v>
      </c>
      <c r="D25" s="439" t="s">
        <v>1</v>
      </c>
      <c r="E25" s="110"/>
      <c r="F25" s="111"/>
      <c r="G25" s="111"/>
      <c r="H25" s="111"/>
      <c r="I25" s="111"/>
      <c r="J25" s="111"/>
      <c r="K25" s="111"/>
      <c r="L25" s="112"/>
      <c r="M25" s="71"/>
      <c r="N25" s="71"/>
      <c r="Q25" s="357"/>
      <c r="R25" s="357"/>
      <c r="S25" s="357"/>
      <c r="T25" s="357"/>
    </row>
    <row r="26" spans="2:20" s="66" customFormat="1" ht="18" customHeight="1">
      <c r="B26" s="133"/>
      <c r="C26" s="192"/>
      <c r="D26" s="192"/>
      <c r="E26" s="126" t="s">
        <v>1095</v>
      </c>
      <c r="F26" s="88">
        <v>8.3</v>
      </c>
      <c r="G26" s="88">
        <v>4.6</v>
      </c>
      <c r="H26" s="88"/>
      <c r="I26" s="88">
        <f>F26*G26</f>
        <v>38.18</v>
      </c>
      <c r="J26" s="131"/>
      <c r="K26" s="131"/>
      <c r="L26" s="89">
        <f>I26</f>
        <v>38.18</v>
      </c>
      <c r="M26" s="71"/>
      <c r="N26" s="71"/>
      <c r="Q26" s="357"/>
      <c r="R26" s="357"/>
      <c r="S26" s="357"/>
      <c r="T26" s="357"/>
    </row>
    <row r="27" spans="2:20" s="66" customFormat="1" ht="18" customHeight="1">
      <c r="B27" s="150"/>
      <c r="C27" s="125"/>
      <c r="D27" s="125"/>
      <c r="E27" s="125"/>
      <c r="F27" s="114"/>
      <c r="G27" s="114"/>
      <c r="H27" s="114"/>
      <c r="I27" s="114"/>
      <c r="J27" s="114"/>
      <c r="K27" s="114"/>
      <c r="L27" s="97">
        <f>SUM(L26)</f>
        <v>38.18</v>
      </c>
      <c r="M27" s="71"/>
      <c r="N27" s="71"/>
      <c r="Q27" s="357"/>
      <c r="R27" s="357"/>
      <c r="S27" s="357"/>
      <c r="T27" s="357"/>
    </row>
    <row r="28" spans="2:20" s="66" customFormat="1" ht="18" customHeight="1">
      <c r="B28" s="108" t="str">
        <f>Orçamento!B29</f>
        <v>2.4</v>
      </c>
      <c r="C28" s="109" t="str">
        <f>Orçamento!C29</f>
        <v>Demolição de laje</v>
      </c>
      <c r="D28" s="439" t="s">
        <v>1</v>
      </c>
      <c r="E28" s="110"/>
      <c r="F28" s="111"/>
      <c r="G28" s="111"/>
      <c r="H28" s="111"/>
      <c r="I28" s="111"/>
      <c r="J28" s="111"/>
      <c r="K28" s="111"/>
      <c r="L28" s="112"/>
      <c r="M28" s="71"/>
      <c r="N28" s="71"/>
      <c r="Q28" s="357"/>
      <c r="R28" s="357"/>
      <c r="S28" s="357"/>
      <c r="T28" s="357"/>
    </row>
    <row r="29" spans="2:20" s="66" customFormat="1" ht="18" customHeight="1">
      <c r="B29" s="133"/>
      <c r="C29" s="192"/>
      <c r="D29" s="192"/>
      <c r="E29" s="126" t="s">
        <v>1096</v>
      </c>
      <c r="F29" s="131"/>
      <c r="G29" s="131"/>
      <c r="H29" s="88">
        <v>0.1</v>
      </c>
      <c r="I29" s="88">
        <v>62.63</v>
      </c>
      <c r="J29" s="88">
        <f>H29*I29</f>
        <v>6.263000000000001</v>
      </c>
      <c r="K29" s="88"/>
      <c r="L29" s="89">
        <f>J29</f>
        <v>6.263000000000001</v>
      </c>
      <c r="M29" s="71"/>
      <c r="N29" s="71"/>
      <c r="Q29" s="357"/>
      <c r="R29" s="357"/>
      <c r="S29" s="357"/>
      <c r="T29" s="357"/>
    </row>
    <row r="30" spans="2:20" s="66" customFormat="1" ht="18" customHeight="1">
      <c r="B30" s="150"/>
      <c r="C30" s="125"/>
      <c r="D30" s="125"/>
      <c r="E30" s="125"/>
      <c r="F30" s="114"/>
      <c r="G30" s="114"/>
      <c r="H30" s="114"/>
      <c r="I30" s="114"/>
      <c r="J30" s="114"/>
      <c r="K30" s="114"/>
      <c r="L30" s="97">
        <f>SUM(L29)</f>
        <v>6.263000000000001</v>
      </c>
      <c r="M30" s="71"/>
      <c r="N30" s="71"/>
      <c r="Q30" s="357"/>
      <c r="R30" s="357"/>
      <c r="S30" s="357"/>
      <c r="T30" s="357"/>
    </row>
    <row r="31" spans="2:20" s="66" customFormat="1" ht="18" customHeight="1">
      <c r="B31" s="108" t="str">
        <f>Orçamento!B30</f>
        <v>2.6</v>
      </c>
      <c r="C31" s="109" t="str">
        <f>Orçamento!C30</f>
        <v>Demolição de piso cimentado</v>
      </c>
      <c r="D31" s="439" t="s">
        <v>39</v>
      </c>
      <c r="E31" s="110"/>
      <c r="F31" s="111"/>
      <c r="G31" s="111"/>
      <c r="H31" s="111"/>
      <c r="I31" s="111"/>
      <c r="J31" s="111"/>
      <c r="K31" s="111"/>
      <c r="L31" s="84"/>
      <c r="M31" s="71"/>
      <c r="N31" s="71"/>
      <c r="Q31" s="357"/>
      <c r="R31" s="357"/>
      <c r="S31" s="357"/>
      <c r="T31" s="357"/>
    </row>
    <row r="32" spans="2:20" s="66" customFormat="1" ht="18" customHeight="1">
      <c r="B32" s="133"/>
      <c r="C32" s="192"/>
      <c r="D32" s="192"/>
      <c r="E32" s="126" t="s">
        <v>1095</v>
      </c>
      <c r="F32" s="88">
        <v>8.3</v>
      </c>
      <c r="G32" s="88">
        <v>4.6</v>
      </c>
      <c r="H32" s="88"/>
      <c r="I32" s="88">
        <f>F32*G32</f>
        <v>38.18</v>
      </c>
      <c r="J32" s="131"/>
      <c r="K32" s="131"/>
      <c r="L32" s="89">
        <f>I32</f>
        <v>38.18</v>
      </c>
      <c r="M32" s="71"/>
      <c r="N32" s="71"/>
      <c r="Q32" s="357"/>
      <c r="R32" s="131">
        <f>138.2</f>
        <v>138.2</v>
      </c>
      <c r="S32" s="357"/>
      <c r="T32" s="357"/>
    </row>
    <row r="33" spans="2:20" s="66" customFormat="1" ht="18" customHeight="1">
      <c r="B33" s="150"/>
      <c r="C33" s="125"/>
      <c r="D33" s="125"/>
      <c r="E33" s="125"/>
      <c r="F33" s="114"/>
      <c r="G33" s="114"/>
      <c r="H33" s="114"/>
      <c r="I33" s="95"/>
      <c r="J33" s="114"/>
      <c r="K33" s="114"/>
      <c r="L33" s="97">
        <f>SUM(L32:L32)</f>
        <v>38.18</v>
      </c>
      <c r="M33" s="71"/>
      <c r="N33" s="71"/>
      <c r="Q33" s="357"/>
      <c r="R33" s="131">
        <f>96.01+6.45</f>
        <v>102.46000000000001</v>
      </c>
      <c r="S33" s="357"/>
      <c r="T33" s="357"/>
    </row>
    <row r="34" spans="2:20" s="66" customFormat="1" ht="18" customHeight="1">
      <c r="B34" s="74" t="str">
        <f>Orçamento!B31</f>
        <v>3.00</v>
      </c>
      <c r="C34" s="75" t="str">
        <f>Orçamento!C31</f>
        <v>INFRA-ESTRUTURA</v>
      </c>
      <c r="D34" s="75"/>
      <c r="E34" s="76"/>
      <c r="F34" s="77"/>
      <c r="G34" s="77"/>
      <c r="H34" s="77"/>
      <c r="I34" s="77"/>
      <c r="J34" s="77"/>
      <c r="K34" s="77"/>
      <c r="L34" s="78"/>
      <c r="M34" s="71"/>
      <c r="N34" s="71"/>
      <c r="Q34" s="357"/>
      <c r="R34" s="357"/>
      <c r="S34" s="357"/>
      <c r="T34" s="357"/>
    </row>
    <row r="35" spans="2:20" s="66" customFormat="1" ht="18" customHeight="1">
      <c r="B35" s="608" t="str">
        <f>Orçamento!B44</f>
        <v>3.12</v>
      </c>
      <c r="C35" s="424" t="str">
        <f>Orçamento!C44</f>
        <v>Interligação com hospital e muro</v>
      </c>
      <c r="D35" s="425"/>
      <c r="E35" s="425"/>
      <c r="F35" s="426"/>
      <c r="G35" s="426"/>
      <c r="H35" s="426"/>
      <c r="I35" s="426"/>
      <c r="J35" s="426"/>
      <c r="K35" s="426"/>
      <c r="L35" s="427"/>
      <c r="M35" s="71"/>
      <c r="N35" s="71"/>
      <c r="Q35" s="357"/>
      <c r="R35" s="357"/>
      <c r="S35" s="357"/>
      <c r="T35" s="357"/>
    </row>
    <row r="36" spans="2:20" s="66" customFormat="1" ht="54">
      <c r="B36" s="291" t="str">
        <f>Orçamento!B45</f>
        <v>3.12.1</v>
      </c>
      <c r="C36" s="109" t="str">
        <f>Orçamento!C45</f>
        <v>Escavacao manual de vala em  material de 1a categoria ate 1,5m excluindoesgotamento / escoramento</v>
      </c>
      <c r="D36" s="439" t="s">
        <v>763</v>
      </c>
      <c r="E36" s="110"/>
      <c r="F36" s="111"/>
      <c r="G36" s="111"/>
      <c r="H36" s="111"/>
      <c r="I36" s="111"/>
      <c r="J36" s="111"/>
      <c r="K36" s="111"/>
      <c r="L36" s="84"/>
      <c r="M36" s="71"/>
      <c r="N36" s="71"/>
      <c r="O36" s="126" t="s">
        <v>767</v>
      </c>
      <c r="P36" s="88">
        <v>43.54</v>
      </c>
      <c r="Q36" s="357"/>
      <c r="R36" s="357"/>
      <c r="S36" s="357"/>
      <c r="T36" s="357"/>
    </row>
    <row r="37" spans="2:20" s="66" customFormat="1" ht="18" customHeight="1">
      <c r="B37" s="133"/>
      <c r="C37" s="192"/>
      <c r="D37" s="192"/>
      <c r="E37" s="126" t="s">
        <v>769</v>
      </c>
      <c r="F37" s="88">
        <v>0.6</v>
      </c>
      <c r="G37" s="88">
        <v>0.6</v>
      </c>
      <c r="H37" s="88">
        <v>0.35</v>
      </c>
      <c r="I37" s="88"/>
      <c r="J37" s="88">
        <f>F37*G37*H37</f>
        <v>0.126</v>
      </c>
      <c r="K37" s="88">
        <v>20</v>
      </c>
      <c r="L37" s="89">
        <f>J37*K37</f>
        <v>2.52</v>
      </c>
      <c r="M37" s="71"/>
      <c r="N37" s="71"/>
      <c r="Q37" s="357"/>
      <c r="R37" s="357"/>
      <c r="S37" s="357"/>
      <c r="T37" s="357"/>
    </row>
    <row r="38" spans="2:20" s="66" customFormat="1" ht="18" customHeight="1">
      <c r="B38" s="133"/>
      <c r="C38" s="192"/>
      <c r="D38" s="192"/>
      <c r="E38" s="126" t="s">
        <v>768</v>
      </c>
      <c r="F38" s="88">
        <v>61.16</v>
      </c>
      <c r="G38" s="88">
        <v>0.2</v>
      </c>
      <c r="H38" s="88">
        <v>0.3</v>
      </c>
      <c r="I38" s="131"/>
      <c r="J38" s="88">
        <f>F38*G38*H38</f>
        <v>3.6695999999999995</v>
      </c>
      <c r="K38" s="131"/>
      <c r="L38" s="89">
        <f>J38</f>
        <v>3.6695999999999995</v>
      </c>
      <c r="M38" s="71"/>
      <c r="N38" s="71"/>
      <c r="Q38" s="357"/>
      <c r="R38" s="357"/>
      <c r="S38" s="357"/>
      <c r="T38" s="357"/>
    </row>
    <row r="39" spans="2:20" s="66" customFormat="1" ht="18" customHeight="1">
      <c r="B39" s="133"/>
      <c r="C39" s="192"/>
      <c r="D39" s="192"/>
      <c r="E39" s="126" t="s">
        <v>764</v>
      </c>
      <c r="F39" s="88">
        <v>11.91</v>
      </c>
      <c r="G39" s="88">
        <v>0.2</v>
      </c>
      <c r="H39" s="88">
        <v>0.3</v>
      </c>
      <c r="I39" s="131"/>
      <c r="J39" s="88">
        <f>F39*G39*H39</f>
        <v>0.7146</v>
      </c>
      <c r="K39" s="131"/>
      <c r="L39" s="89">
        <f>J39</f>
        <v>0.7146</v>
      </c>
      <c r="M39" s="71"/>
      <c r="N39" s="71"/>
      <c r="Q39" s="357"/>
      <c r="R39" s="357"/>
      <c r="S39" s="357"/>
      <c r="T39" s="357"/>
    </row>
    <row r="40" spans="2:20" s="66" customFormat="1" ht="18" customHeight="1">
      <c r="B40" s="133"/>
      <c r="C40" s="192"/>
      <c r="D40" s="192"/>
      <c r="E40" s="126" t="s">
        <v>770</v>
      </c>
      <c r="F40" s="88">
        <v>0.6</v>
      </c>
      <c r="G40" s="88">
        <v>0.6</v>
      </c>
      <c r="H40" s="88">
        <v>0.35</v>
      </c>
      <c r="I40" s="88"/>
      <c r="J40" s="88">
        <f>F40*G40*H40</f>
        <v>0.126</v>
      </c>
      <c r="K40" s="88">
        <v>4</v>
      </c>
      <c r="L40" s="89">
        <f>J40*K40</f>
        <v>0.504</v>
      </c>
      <c r="M40" s="71"/>
      <c r="N40" s="71"/>
      <c r="Q40" s="357"/>
      <c r="R40" s="357"/>
      <c r="S40" s="357"/>
      <c r="T40" s="357"/>
    </row>
    <row r="41" spans="2:20" s="66" customFormat="1" ht="18" customHeight="1">
      <c r="B41" s="150"/>
      <c r="C41" s="125"/>
      <c r="D41" s="125"/>
      <c r="E41" s="125"/>
      <c r="F41" s="114"/>
      <c r="G41" s="114"/>
      <c r="H41" s="114"/>
      <c r="I41" s="114"/>
      <c r="J41" s="114"/>
      <c r="K41" s="114"/>
      <c r="L41" s="97">
        <f>SUM(L37:L40)</f>
        <v>7.408199999999999</v>
      </c>
      <c r="M41" s="71"/>
      <c r="N41" s="71"/>
      <c r="Q41" s="357"/>
      <c r="R41" s="357"/>
      <c r="S41" s="357"/>
      <c r="T41" s="357"/>
    </row>
    <row r="42" spans="2:20" s="66" customFormat="1" ht="36">
      <c r="B42" s="108" t="str">
        <f>Orçamento!B46</f>
        <v>3.12.2</v>
      </c>
      <c r="C42" s="109" t="str">
        <f>Orçamento!C46</f>
        <v>Concreto armado 20 MPA sapatas e vigas baldrames</v>
      </c>
      <c r="D42" s="439" t="s">
        <v>763</v>
      </c>
      <c r="E42" s="110"/>
      <c r="F42" s="111"/>
      <c r="G42" s="111"/>
      <c r="H42" s="111"/>
      <c r="I42" s="111"/>
      <c r="J42" s="111"/>
      <c r="K42" s="111"/>
      <c r="L42" s="84"/>
      <c r="M42" s="71"/>
      <c r="N42" s="71"/>
      <c r="Q42" s="357"/>
      <c r="R42" s="357"/>
      <c r="S42" s="357"/>
      <c r="T42" s="357"/>
    </row>
    <row r="43" spans="2:20" s="66" customFormat="1" ht="18" customHeight="1">
      <c r="B43" s="133"/>
      <c r="C43" s="192"/>
      <c r="D43" s="192"/>
      <c r="E43" s="126" t="s">
        <v>769</v>
      </c>
      <c r="F43" s="88">
        <v>0.6</v>
      </c>
      <c r="G43" s="88">
        <v>0.6</v>
      </c>
      <c r="H43" s="88">
        <v>0.25</v>
      </c>
      <c r="I43" s="88"/>
      <c r="J43" s="88">
        <f>F43*G43*H43</f>
        <v>0.09</v>
      </c>
      <c r="K43" s="88">
        <v>20</v>
      </c>
      <c r="L43" s="89">
        <f>J43*K43</f>
        <v>1.7999999999999998</v>
      </c>
      <c r="M43" s="71"/>
      <c r="N43" s="71"/>
      <c r="Q43" s="357"/>
      <c r="R43" s="357"/>
      <c r="S43" s="357"/>
      <c r="T43" s="357"/>
    </row>
    <row r="44" spans="2:20" s="66" customFormat="1" ht="18" customHeight="1">
      <c r="B44" s="133"/>
      <c r="C44" s="192"/>
      <c r="D44" s="192"/>
      <c r="E44" s="126" t="s">
        <v>768</v>
      </c>
      <c r="F44" s="88">
        <v>61.16</v>
      </c>
      <c r="G44" s="88">
        <v>0.25</v>
      </c>
      <c r="H44" s="88">
        <v>0.3</v>
      </c>
      <c r="I44" s="131"/>
      <c r="J44" s="88">
        <f>F44*G44*H44</f>
        <v>4.587</v>
      </c>
      <c r="K44" s="131"/>
      <c r="L44" s="89">
        <f>J44</f>
        <v>4.587</v>
      </c>
      <c r="M44" s="71"/>
      <c r="N44" s="71"/>
      <c r="Q44" s="357"/>
      <c r="R44" s="357"/>
      <c r="S44" s="357"/>
      <c r="T44" s="357"/>
    </row>
    <row r="45" spans="2:20" s="66" customFormat="1" ht="18" customHeight="1">
      <c r="B45" s="133"/>
      <c r="C45" s="192"/>
      <c r="D45" s="192"/>
      <c r="E45" s="126" t="s">
        <v>764</v>
      </c>
      <c r="F45" s="88">
        <v>11.91</v>
      </c>
      <c r="G45" s="88">
        <v>0.25</v>
      </c>
      <c r="H45" s="88">
        <v>0.3</v>
      </c>
      <c r="I45" s="131"/>
      <c r="J45" s="88">
        <f>F45*G45*H45</f>
        <v>0.89325</v>
      </c>
      <c r="K45" s="131"/>
      <c r="L45" s="89">
        <f>J45</f>
        <v>0.89325</v>
      </c>
      <c r="M45" s="71"/>
      <c r="N45" s="71"/>
      <c r="Q45" s="357"/>
      <c r="R45" s="357"/>
      <c r="S45" s="357"/>
      <c r="T45" s="357"/>
    </row>
    <row r="46" spans="2:20" s="66" customFormat="1" ht="18" customHeight="1">
      <c r="B46" s="133"/>
      <c r="C46" s="192"/>
      <c r="D46" s="192"/>
      <c r="E46" s="126" t="s">
        <v>770</v>
      </c>
      <c r="F46" s="88">
        <v>0.6</v>
      </c>
      <c r="G46" s="88">
        <v>0.6</v>
      </c>
      <c r="H46" s="88">
        <v>0.25</v>
      </c>
      <c r="I46" s="88"/>
      <c r="J46" s="88">
        <f>F46*G46*H46</f>
        <v>0.09</v>
      </c>
      <c r="K46" s="88">
        <v>4</v>
      </c>
      <c r="L46" s="89">
        <f>J46*K46</f>
        <v>0.36</v>
      </c>
      <c r="M46" s="71"/>
      <c r="N46" s="71"/>
      <c r="Q46" s="357"/>
      <c r="R46" s="357"/>
      <c r="S46" s="357"/>
      <c r="T46" s="357"/>
    </row>
    <row r="47" spans="2:20" s="66" customFormat="1" ht="18" customHeight="1">
      <c r="B47" s="150"/>
      <c r="C47" s="125"/>
      <c r="D47" s="125"/>
      <c r="E47" s="125"/>
      <c r="F47" s="114"/>
      <c r="G47" s="114"/>
      <c r="H47" s="114"/>
      <c r="I47" s="114"/>
      <c r="J47" s="114"/>
      <c r="K47" s="114"/>
      <c r="L47" s="97">
        <f>SUM(L43:L46)</f>
        <v>7.64025</v>
      </c>
      <c r="M47" s="71"/>
      <c r="N47" s="71"/>
      <c r="Q47" s="357"/>
      <c r="R47" s="357"/>
      <c r="S47" s="357"/>
      <c r="T47" s="357"/>
    </row>
    <row r="48" spans="2:20" s="66" customFormat="1" ht="36">
      <c r="B48" s="291" t="str">
        <f>Orçamento!B47</f>
        <v>3.12.3</v>
      </c>
      <c r="C48" s="109" t="str">
        <f>Orçamento!C47</f>
        <v>Alvenaria de embasamento em tijolos ceramicos furado 10x20x20cm</v>
      </c>
      <c r="D48" s="439" t="s">
        <v>763</v>
      </c>
      <c r="E48" s="110"/>
      <c r="F48" s="111"/>
      <c r="G48" s="111"/>
      <c r="H48" s="111"/>
      <c r="I48" s="111"/>
      <c r="J48" s="111"/>
      <c r="K48" s="111"/>
      <c r="L48" s="84"/>
      <c r="M48" s="71"/>
      <c r="N48" s="71"/>
      <c r="Q48" s="357"/>
      <c r="R48" s="357"/>
      <c r="S48" s="357"/>
      <c r="T48" s="357"/>
    </row>
    <row r="49" spans="2:20" s="66" customFormat="1" ht="18" customHeight="1">
      <c r="B49" s="133"/>
      <c r="C49" s="192"/>
      <c r="D49" s="192"/>
      <c r="E49" s="126" t="s">
        <v>768</v>
      </c>
      <c r="F49" s="88">
        <v>61.16</v>
      </c>
      <c r="G49" s="88">
        <v>0.4</v>
      </c>
      <c r="H49" s="88">
        <v>0.2</v>
      </c>
      <c r="I49" s="131"/>
      <c r="J49" s="88">
        <f>F49*G49*H49</f>
        <v>4.8928</v>
      </c>
      <c r="K49" s="131"/>
      <c r="L49" s="89">
        <f>J49</f>
        <v>4.8928</v>
      </c>
      <c r="M49" s="71"/>
      <c r="N49" s="71"/>
      <c r="Q49" s="357"/>
      <c r="R49" s="357"/>
      <c r="S49" s="357"/>
      <c r="T49" s="357"/>
    </row>
    <row r="50" spans="2:20" s="66" customFormat="1" ht="18" customHeight="1">
      <c r="B50" s="133"/>
      <c r="C50" s="192"/>
      <c r="D50" s="192"/>
      <c r="E50" s="126" t="s">
        <v>764</v>
      </c>
      <c r="F50" s="88">
        <v>11.91</v>
      </c>
      <c r="G50" s="88">
        <v>0.3</v>
      </c>
      <c r="H50" s="88">
        <v>0.2</v>
      </c>
      <c r="I50" s="131"/>
      <c r="J50" s="88">
        <f>F50*G50*H50</f>
        <v>0.7146</v>
      </c>
      <c r="K50" s="131"/>
      <c r="L50" s="89">
        <f>J50</f>
        <v>0.7146</v>
      </c>
      <c r="M50" s="71"/>
      <c r="N50" s="71"/>
      <c r="Q50" s="357"/>
      <c r="R50" s="357"/>
      <c r="S50" s="357"/>
      <c r="T50" s="357"/>
    </row>
    <row r="51" spans="2:20" s="66" customFormat="1" ht="18" customHeight="1">
      <c r="B51" s="150"/>
      <c r="C51" s="125"/>
      <c r="D51" s="125"/>
      <c r="E51" s="125"/>
      <c r="F51" s="114"/>
      <c r="G51" s="95"/>
      <c r="H51" s="95"/>
      <c r="I51" s="114"/>
      <c r="J51" s="114"/>
      <c r="K51" s="114"/>
      <c r="L51" s="97">
        <f>SUM(L49:L50)</f>
        <v>5.6074</v>
      </c>
      <c r="M51" s="71"/>
      <c r="N51" s="71"/>
      <c r="Q51" s="357"/>
      <c r="R51" s="357"/>
      <c r="S51" s="357"/>
      <c r="T51" s="357"/>
    </row>
    <row r="52" spans="2:20" s="66" customFormat="1" ht="72">
      <c r="B52" s="291" t="str">
        <f>Orçamento!B48</f>
        <v>3.12.4</v>
      </c>
      <c r="C52" s="109" t="str">
        <f>Orçamento!C48</f>
        <v>Impermeabilizacao de superficie com armagassa de cimento e areia (grossa),traco 1:3, com aditivo impermeabilizante, e=2,5cm.</v>
      </c>
      <c r="D52" s="439" t="s">
        <v>39</v>
      </c>
      <c r="E52" s="110"/>
      <c r="F52" s="111"/>
      <c r="G52" s="111"/>
      <c r="H52" s="111"/>
      <c r="I52" s="111"/>
      <c r="J52" s="111"/>
      <c r="K52" s="111"/>
      <c r="L52" s="84"/>
      <c r="M52" s="71"/>
      <c r="N52" s="71"/>
      <c r="Q52" s="357"/>
      <c r="R52" s="357"/>
      <c r="S52" s="357"/>
      <c r="T52" s="357"/>
    </row>
    <row r="53" spans="2:20" s="66" customFormat="1" ht="18.75">
      <c r="B53" s="293"/>
      <c r="C53" s="126"/>
      <c r="D53" s="600"/>
      <c r="E53" s="126" t="s">
        <v>769</v>
      </c>
      <c r="F53" s="88">
        <v>0.6</v>
      </c>
      <c r="G53" s="88">
        <v>0.6</v>
      </c>
      <c r="H53" s="88">
        <v>0.25</v>
      </c>
      <c r="I53" s="88">
        <f>F53*H53*4+F53*G53</f>
        <v>0.96</v>
      </c>
      <c r="J53" s="131"/>
      <c r="K53" s="88">
        <v>20</v>
      </c>
      <c r="L53" s="89">
        <f>I53*K53</f>
        <v>19.2</v>
      </c>
      <c r="M53" s="71"/>
      <c r="N53" s="71"/>
      <c r="Q53" s="357"/>
      <c r="R53" s="357"/>
      <c r="S53" s="357"/>
      <c r="T53" s="357"/>
    </row>
    <row r="54" spans="2:20" s="66" customFormat="1" ht="18.75">
      <c r="B54" s="293"/>
      <c r="C54" s="126"/>
      <c r="D54" s="600"/>
      <c r="E54" s="126" t="s">
        <v>768</v>
      </c>
      <c r="F54" s="88">
        <v>61.16</v>
      </c>
      <c r="G54" s="88">
        <v>0.2</v>
      </c>
      <c r="H54" s="88">
        <v>0.3</v>
      </c>
      <c r="I54" s="88">
        <f>F54*H54*2+G54*H54*2+F54*G54</f>
        <v>49.047999999999995</v>
      </c>
      <c r="J54" s="131"/>
      <c r="K54" s="131"/>
      <c r="L54" s="89">
        <f>I54</f>
        <v>49.047999999999995</v>
      </c>
      <c r="M54" s="71"/>
      <c r="N54" s="71"/>
      <c r="Q54" s="357"/>
      <c r="R54" s="357"/>
      <c r="S54" s="357"/>
      <c r="T54" s="357"/>
    </row>
    <row r="55" spans="2:20" s="66" customFormat="1" ht="18" customHeight="1">
      <c r="B55" s="133"/>
      <c r="C55" s="192"/>
      <c r="D55" s="192"/>
      <c r="E55" s="126" t="s">
        <v>764</v>
      </c>
      <c r="F55" s="88">
        <v>11.84</v>
      </c>
      <c r="G55" s="88">
        <v>0.2</v>
      </c>
      <c r="H55" s="88">
        <v>0.3</v>
      </c>
      <c r="I55" s="88">
        <f>F55*H55*2+G55*H55*2+F55*G55</f>
        <v>9.592</v>
      </c>
      <c r="J55" s="131"/>
      <c r="K55" s="131"/>
      <c r="L55" s="89">
        <f>I55</f>
        <v>9.592</v>
      </c>
      <c r="M55" s="71"/>
      <c r="N55" s="71"/>
      <c r="Q55" s="357"/>
      <c r="R55" s="357"/>
      <c r="S55" s="357"/>
      <c r="T55" s="357"/>
    </row>
    <row r="56" spans="2:20" s="66" customFormat="1" ht="18" customHeight="1">
      <c r="B56" s="133"/>
      <c r="C56" s="192"/>
      <c r="D56" s="192"/>
      <c r="E56" s="126" t="s">
        <v>770</v>
      </c>
      <c r="F56" s="88">
        <v>0.6</v>
      </c>
      <c r="G56" s="88">
        <v>0.6</v>
      </c>
      <c r="H56" s="88">
        <v>0.25</v>
      </c>
      <c r="I56" s="88">
        <f>F56*H56*4+F56*G56</f>
        <v>0.96</v>
      </c>
      <c r="J56" s="131"/>
      <c r="K56" s="88">
        <v>4</v>
      </c>
      <c r="L56" s="89">
        <f>I56*K56</f>
        <v>3.84</v>
      </c>
      <c r="M56" s="71"/>
      <c r="N56" s="71"/>
      <c r="Q56" s="357"/>
      <c r="R56" s="357"/>
      <c r="S56" s="357"/>
      <c r="T56" s="357"/>
    </row>
    <row r="57" spans="2:20" s="66" customFormat="1" ht="18" customHeight="1">
      <c r="B57" s="150"/>
      <c r="C57" s="125"/>
      <c r="D57" s="125"/>
      <c r="E57" s="125"/>
      <c r="F57" s="114"/>
      <c r="G57" s="114"/>
      <c r="H57" s="114"/>
      <c r="I57" s="114"/>
      <c r="J57" s="114"/>
      <c r="K57" s="114"/>
      <c r="L57" s="97">
        <f>SUM(L53:L56)</f>
        <v>81.67999999999999</v>
      </c>
      <c r="M57" s="71"/>
      <c r="N57" s="71"/>
      <c r="Q57" s="357"/>
      <c r="R57" s="357"/>
      <c r="S57" s="357"/>
      <c r="T57" s="357"/>
    </row>
    <row r="58" spans="2:20" s="66" customFormat="1" ht="36">
      <c r="B58" s="291" t="str">
        <f>Orçamento!B49</f>
        <v>3.12.5</v>
      </c>
      <c r="C58" s="109" t="str">
        <f>Orçamento!C49</f>
        <v>Impermeabilizacao de estruturas enterradas, com tinta asfaltica, duas demaos</v>
      </c>
      <c r="D58" s="439" t="s">
        <v>39</v>
      </c>
      <c r="E58" s="110"/>
      <c r="F58" s="111"/>
      <c r="G58" s="111"/>
      <c r="H58" s="111"/>
      <c r="I58" s="111"/>
      <c r="J58" s="111"/>
      <c r="K58" s="111"/>
      <c r="L58" s="84"/>
      <c r="M58" s="71"/>
      <c r="N58" s="71"/>
      <c r="Q58" s="357"/>
      <c r="R58" s="357"/>
      <c r="S58" s="357"/>
      <c r="T58" s="357"/>
    </row>
    <row r="59" spans="2:20" s="66" customFormat="1" ht="18" customHeight="1">
      <c r="B59" s="133"/>
      <c r="C59" s="192"/>
      <c r="D59" s="192"/>
      <c r="E59" s="126" t="s">
        <v>769</v>
      </c>
      <c r="F59" s="88">
        <v>0.6</v>
      </c>
      <c r="G59" s="88">
        <v>0.6</v>
      </c>
      <c r="H59" s="88">
        <v>0.25</v>
      </c>
      <c r="I59" s="88">
        <f>F59*H59*4+F59*G59</f>
        <v>0.96</v>
      </c>
      <c r="J59" s="131"/>
      <c r="K59" s="88">
        <v>20</v>
      </c>
      <c r="L59" s="89">
        <f>I59*K59</f>
        <v>19.2</v>
      </c>
      <c r="M59" s="71"/>
      <c r="N59" s="71"/>
      <c r="Q59" s="357"/>
      <c r="R59" s="357"/>
      <c r="S59" s="357"/>
      <c r="T59" s="357"/>
    </row>
    <row r="60" spans="2:20" s="66" customFormat="1" ht="18" customHeight="1">
      <c r="B60" s="133"/>
      <c r="C60" s="192"/>
      <c r="D60" s="192"/>
      <c r="E60" s="126" t="s">
        <v>768</v>
      </c>
      <c r="F60" s="88">
        <v>61.16</v>
      </c>
      <c r="G60" s="88">
        <v>0.2</v>
      </c>
      <c r="H60" s="88">
        <v>0.3</v>
      </c>
      <c r="I60" s="88">
        <f>F60*H60*2+G60*H60*2+F60*G60</f>
        <v>49.047999999999995</v>
      </c>
      <c r="J60" s="131"/>
      <c r="K60" s="131"/>
      <c r="L60" s="89">
        <f>I60</f>
        <v>49.047999999999995</v>
      </c>
      <c r="M60" s="71"/>
      <c r="N60" s="71"/>
      <c r="Q60" s="357"/>
      <c r="R60" s="357"/>
      <c r="S60" s="357"/>
      <c r="T60" s="357"/>
    </row>
    <row r="61" spans="2:20" s="66" customFormat="1" ht="18" customHeight="1">
      <c r="B61" s="133"/>
      <c r="C61" s="192"/>
      <c r="D61" s="192"/>
      <c r="E61" s="126" t="s">
        <v>764</v>
      </c>
      <c r="F61" s="88">
        <v>11.84</v>
      </c>
      <c r="G61" s="88">
        <v>0.2</v>
      </c>
      <c r="H61" s="88">
        <v>0.3</v>
      </c>
      <c r="I61" s="88">
        <f>F61*H61*2+G61*H61*2+F61*G61</f>
        <v>9.592</v>
      </c>
      <c r="J61" s="131"/>
      <c r="K61" s="131"/>
      <c r="L61" s="89">
        <f>I61</f>
        <v>9.592</v>
      </c>
      <c r="M61" s="71"/>
      <c r="N61" s="71"/>
      <c r="Q61" s="357"/>
      <c r="R61" s="357"/>
      <c r="S61" s="357"/>
      <c r="T61" s="357"/>
    </row>
    <row r="62" spans="2:20" s="66" customFormat="1" ht="18" customHeight="1">
      <c r="B62" s="133"/>
      <c r="C62" s="192"/>
      <c r="D62" s="192"/>
      <c r="E62" s="126" t="s">
        <v>770</v>
      </c>
      <c r="F62" s="88">
        <v>0.6</v>
      </c>
      <c r="G62" s="88">
        <v>0.6</v>
      </c>
      <c r="H62" s="88">
        <v>0.25</v>
      </c>
      <c r="I62" s="88">
        <f>F62*H62*4+F62*G62</f>
        <v>0.96</v>
      </c>
      <c r="J62" s="131"/>
      <c r="K62" s="88">
        <v>4</v>
      </c>
      <c r="L62" s="89">
        <f>I62*K62</f>
        <v>3.84</v>
      </c>
      <c r="M62" s="71"/>
      <c r="N62" s="71"/>
      <c r="Q62" s="357"/>
      <c r="R62" s="357"/>
      <c r="S62" s="357"/>
      <c r="T62" s="357"/>
    </row>
    <row r="63" spans="2:20" s="66" customFormat="1" ht="18" customHeight="1">
      <c r="B63" s="150"/>
      <c r="C63" s="125"/>
      <c r="D63" s="125"/>
      <c r="E63" s="125"/>
      <c r="F63" s="114"/>
      <c r="G63" s="114"/>
      <c r="H63" s="114"/>
      <c r="I63" s="114"/>
      <c r="J63" s="114"/>
      <c r="K63" s="114"/>
      <c r="L63" s="97">
        <f>SUM(L59:L62)</f>
        <v>81.67999999999999</v>
      </c>
      <c r="M63" s="71"/>
      <c r="N63" s="71"/>
      <c r="Q63" s="357"/>
      <c r="R63" s="357"/>
      <c r="S63" s="357"/>
      <c r="T63" s="357"/>
    </row>
    <row r="64" spans="2:20" s="66" customFormat="1" ht="72">
      <c r="B64" s="291" t="str">
        <f>Orçamento!B50</f>
        <v>3.12.6</v>
      </c>
      <c r="C64" s="109" t="str">
        <f>Orçamento!C50</f>
        <v>Carga manual de material a granel (2 serventes) em caminhao basculante  c/cacamba de 4,0m3 incluindo descarga mecânica</v>
      </c>
      <c r="D64" s="439" t="s">
        <v>763</v>
      </c>
      <c r="E64" s="110"/>
      <c r="F64" s="111"/>
      <c r="G64" s="111"/>
      <c r="H64" s="111"/>
      <c r="I64" s="111"/>
      <c r="J64" s="111"/>
      <c r="K64" s="111"/>
      <c r="L64" s="112"/>
      <c r="M64" s="71"/>
      <c r="N64" s="71"/>
      <c r="Q64" s="357"/>
      <c r="R64" s="357"/>
      <c r="S64" s="357"/>
      <c r="T64" s="357"/>
    </row>
    <row r="65" spans="2:20" s="66" customFormat="1" ht="36">
      <c r="B65" s="133"/>
      <c r="C65" s="126"/>
      <c r="D65" s="600"/>
      <c r="E65" s="126" t="str">
        <f>C17</f>
        <v>Demolição de alvenaria de tijolos furados s/reaproveitamento</v>
      </c>
      <c r="F65" s="131"/>
      <c r="G65" s="131"/>
      <c r="H65" s="131"/>
      <c r="I65" s="131"/>
      <c r="J65" s="88">
        <f>L21</f>
        <v>56.2815</v>
      </c>
      <c r="K65" s="131"/>
      <c r="L65" s="89">
        <f aca="true" t="shared" si="0" ref="L65:L70">J65</f>
        <v>56.2815</v>
      </c>
      <c r="M65" s="71"/>
      <c r="N65" s="71"/>
      <c r="Q65" s="357"/>
      <c r="R65" s="357"/>
      <c r="S65" s="357"/>
      <c r="T65" s="357"/>
    </row>
    <row r="66" spans="2:20" s="66" customFormat="1" ht="18.75">
      <c r="B66" s="133"/>
      <c r="C66" s="126"/>
      <c r="D66" s="600"/>
      <c r="E66" s="126" t="str">
        <f>C22</f>
        <v>Demolição de telha cerâmica</v>
      </c>
      <c r="F66" s="131"/>
      <c r="G66" s="131"/>
      <c r="H66" s="88">
        <v>0.1</v>
      </c>
      <c r="I66" s="88">
        <f>L24</f>
        <v>38.18</v>
      </c>
      <c r="J66" s="88">
        <f>H66*I66</f>
        <v>3.818</v>
      </c>
      <c r="K66" s="88"/>
      <c r="L66" s="89">
        <f t="shared" si="0"/>
        <v>3.818</v>
      </c>
      <c r="M66" s="71"/>
      <c r="N66" s="71"/>
      <c r="Q66" s="357"/>
      <c r="R66" s="357"/>
      <c r="S66" s="357"/>
      <c r="T66" s="357"/>
    </row>
    <row r="67" spans="2:20" s="66" customFormat="1" ht="36">
      <c r="B67" s="133"/>
      <c r="C67" s="126"/>
      <c r="D67" s="600"/>
      <c r="E67" s="126" t="str">
        <f>C25</f>
        <v>Demolição de estrutura de madeira do telhado</v>
      </c>
      <c r="F67" s="131"/>
      <c r="G67" s="131"/>
      <c r="H67" s="88">
        <v>0.1</v>
      </c>
      <c r="I67" s="88">
        <f>L24</f>
        <v>38.18</v>
      </c>
      <c r="J67" s="88">
        <f>H67*I67</f>
        <v>3.818</v>
      </c>
      <c r="K67" s="88"/>
      <c r="L67" s="89">
        <f t="shared" si="0"/>
        <v>3.818</v>
      </c>
      <c r="M67" s="71"/>
      <c r="N67" s="71"/>
      <c r="Q67" s="357"/>
      <c r="R67" s="357"/>
      <c r="S67" s="357"/>
      <c r="T67" s="357"/>
    </row>
    <row r="68" spans="2:20" s="66" customFormat="1" ht="18.75">
      <c r="B68" s="133"/>
      <c r="C68" s="126"/>
      <c r="D68" s="600"/>
      <c r="E68" s="126" t="str">
        <f>C28</f>
        <v>Demolição de laje</v>
      </c>
      <c r="F68" s="131"/>
      <c r="G68" s="131"/>
      <c r="H68" s="88">
        <v>0.1</v>
      </c>
      <c r="I68" s="88">
        <f>L30</f>
        <v>6.263000000000001</v>
      </c>
      <c r="J68" s="88">
        <f>H68*I68</f>
        <v>0.6263000000000001</v>
      </c>
      <c r="K68" s="88"/>
      <c r="L68" s="89">
        <f t="shared" si="0"/>
        <v>0.6263000000000001</v>
      </c>
      <c r="M68" s="71"/>
      <c r="N68" s="71"/>
      <c r="Q68" s="357"/>
      <c r="R68" s="357"/>
      <c r="S68" s="357"/>
      <c r="T68" s="357"/>
    </row>
    <row r="69" spans="2:20" s="66" customFormat="1" ht="18.75">
      <c r="B69" s="133"/>
      <c r="C69" s="126"/>
      <c r="D69" s="600"/>
      <c r="E69" s="126" t="str">
        <f>C31</f>
        <v>Demolição de piso cimentado</v>
      </c>
      <c r="F69" s="131"/>
      <c r="G69" s="131"/>
      <c r="H69" s="88">
        <v>0.1</v>
      </c>
      <c r="I69" s="88">
        <f>L33</f>
        <v>38.18</v>
      </c>
      <c r="J69" s="88">
        <f>H69*I69</f>
        <v>3.818</v>
      </c>
      <c r="K69" s="88"/>
      <c r="L69" s="89">
        <f t="shared" si="0"/>
        <v>3.818</v>
      </c>
      <c r="M69" s="71"/>
      <c r="N69" s="71"/>
      <c r="Q69" s="357"/>
      <c r="R69" s="357"/>
      <c r="S69" s="357"/>
      <c r="T69" s="357"/>
    </row>
    <row r="70" spans="2:20" s="66" customFormat="1" ht="54">
      <c r="B70" s="133"/>
      <c r="C70" s="126"/>
      <c r="D70" s="600"/>
      <c r="E70" s="126" t="str">
        <f>C36</f>
        <v>Escavacao manual de vala em  material de 1a categoria ate 1,5m excluindoesgotamento / escoramento</v>
      </c>
      <c r="F70" s="131"/>
      <c r="G70" s="131"/>
      <c r="H70" s="88"/>
      <c r="I70" s="88"/>
      <c r="J70" s="88">
        <f>L41</f>
        <v>7.408199999999999</v>
      </c>
      <c r="K70" s="88"/>
      <c r="L70" s="89">
        <f t="shared" si="0"/>
        <v>7.408199999999999</v>
      </c>
      <c r="M70" s="71"/>
      <c r="N70" s="71"/>
      <c r="Q70" s="357"/>
      <c r="R70" s="357"/>
      <c r="S70" s="357"/>
      <c r="T70" s="357"/>
    </row>
    <row r="71" spans="2:20" s="66" customFormat="1" ht="18.75">
      <c r="B71" s="150"/>
      <c r="C71" s="113"/>
      <c r="D71" s="602"/>
      <c r="E71" s="125" t="s">
        <v>1097</v>
      </c>
      <c r="F71" s="114"/>
      <c r="G71" s="114"/>
      <c r="H71" s="114"/>
      <c r="I71" s="114"/>
      <c r="J71" s="114"/>
      <c r="K71" s="114"/>
      <c r="L71" s="97">
        <f>SUM(L65:L70)*1.3</f>
        <v>98.50099999999998</v>
      </c>
      <c r="M71" s="71"/>
      <c r="N71" s="71"/>
      <c r="Q71" s="357"/>
      <c r="R71" s="357"/>
      <c r="S71" s="357"/>
      <c r="T71" s="357"/>
    </row>
    <row r="72" spans="2:20" s="66" customFormat="1" ht="18" customHeight="1">
      <c r="B72" s="376" t="str">
        <f>Orçamento!B51</f>
        <v>4.00</v>
      </c>
      <c r="C72" s="75" t="str">
        <f>Orçamento!C51</f>
        <v>SUPERESTRUTURA</v>
      </c>
      <c r="D72" s="75"/>
      <c r="E72" s="76"/>
      <c r="F72" s="77"/>
      <c r="G72" s="77"/>
      <c r="H72" s="77"/>
      <c r="I72" s="77"/>
      <c r="J72" s="77"/>
      <c r="K72" s="77"/>
      <c r="L72" s="78"/>
      <c r="M72" s="71"/>
      <c r="N72" s="71"/>
      <c r="Q72" s="357"/>
      <c r="R72" s="357"/>
      <c r="S72" s="357"/>
      <c r="T72" s="357"/>
    </row>
    <row r="73" spans="2:20" s="66" customFormat="1" ht="72">
      <c r="B73" s="291" t="str">
        <f>Orçamento!B55</f>
        <v>4.4</v>
      </c>
      <c r="C73" s="109" t="str">
        <f>Orçamento!C55</f>
        <v>laje pre-mold beta 12 p/3,5kn/m2 vao 4,1m incl vigotas tijolos armaduranegativa capeamento 3cm concreto 15mpa escoramento materiais e mao de obra</v>
      </c>
      <c r="D73" s="439" t="s">
        <v>39</v>
      </c>
      <c r="E73" s="110"/>
      <c r="F73" s="111"/>
      <c r="G73" s="111"/>
      <c r="H73" s="111"/>
      <c r="I73" s="111"/>
      <c r="J73" s="111"/>
      <c r="K73" s="111"/>
      <c r="L73" s="112"/>
      <c r="M73" s="71"/>
      <c r="N73" s="71"/>
      <c r="Q73" s="357"/>
      <c r="R73" s="357"/>
      <c r="S73" s="357"/>
      <c r="T73" s="357"/>
    </row>
    <row r="74" spans="2:20" s="66" customFormat="1" ht="18.75">
      <c r="B74" s="293"/>
      <c r="C74" s="126"/>
      <c r="D74" s="192"/>
      <c r="E74" s="126" t="s">
        <v>519</v>
      </c>
      <c r="F74" s="131"/>
      <c r="G74" s="131"/>
      <c r="H74" s="131"/>
      <c r="I74" s="88">
        <v>280.2</v>
      </c>
      <c r="J74" s="131"/>
      <c r="K74" s="131"/>
      <c r="L74" s="89">
        <f>I74</f>
        <v>280.2</v>
      </c>
      <c r="M74" s="71"/>
      <c r="N74" s="71"/>
      <c r="Q74" s="357"/>
      <c r="R74" s="357"/>
      <c r="S74" s="357"/>
      <c r="T74" s="357"/>
    </row>
    <row r="75" spans="2:20" s="66" customFormat="1" ht="18" customHeight="1">
      <c r="B75" s="377"/>
      <c r="C75" s="192"/>
      <c r="D75" s="192"/>
      <c r="E75" s="126" t="s">
        <v>518</v>
      </c>
      <c r="F75" s="88">
        <v>3.85</v>
      </c>
      <c r="G75" s="88">
        <v>3.3</v>
      </c>
      <c r="H75" s="88"/>
      <c r="I75" s="88">
        <f>F75*G75</f>
        <v>12.705</v>
      </c>
      <c r="J75" s="131"/>
      <c r="K75" s="131"/>
      <c r="L75" s="89">
        <f>I75</f>
        <v>12.705</v>
      </c>
      <c r="M75" s="71"/>
      <c r="N75" s="71"/>
      <c r="Q75" s="357"/>
      <c r="R75" s="357"/>
      <c r="S75" s="357"/>
      <c r="T75" s="357"/>
    </row>
    <row r="76" spans="2:20" s="66" customFormat="1" ht="18" customHeight="1">
      <c r="B76" s="378"/>
      <c r="C76" s="125"/>
      <c r="D76" s="125"/>
      <c r="E76" s="125"/>
      <c r="F76" s="114"/>
      <c r="G76" s="114"/>
      <c r="H76" s="114"/>
      <c r="I76" s="114"/>
      <c r="J76" s="114"/>
      <c r="K76" s="114"/>
      <c r="L76" s="97">
        <f>SUM(L74:L75)</f>
        <v>292.905</v>
      </c>
      <c r="M76" s="71"/>
      <c r="N76" s="71"/>
      <c r="Q76" s="357"/>
      <c r="R76" s="357"/>
      <c r="S76" s="357"/>
      <c r="T76" s="357"/>
    </row>
    <row r="77" spans="2:20" s="66" customFormat="1" ht="18" customHeight="1">
      <c r="B77" s="608" t="str">
        <f>Orçamento!B56</f>
        <v>4.5</v>
      </c>
      <c r="C77" s="424" t="str">
        <f>Orçamento!C56</f>
        <v>Interligação com hospital</v>
      </c>
      <c r="D77" s="425"/>
      <c r="E77" s="425"/>
      <c r="F77" s="426"/>
      <c r="G77" s="426"/>
      <c r="H77" s="426"/>
      <c r="I77" s="426"/>
      <c r="J77" s="426"/>
      <c r="K77" s="426"/>
      <c r="L77" s="427"/>
      <c r="M77" s="71"/>
      <c r="N77" s="71"/>
      <c r="Q77" s="357"/>
      <c r="R77" s="357"/>
      <c r="S77" s="357"/>
      <c r="T77" s="357"/>
    </row>
    <row r="78" spans="2:20" s="66" customFormat="1" ht="18.75">
      <c r="B78" s="291" t="str">
        <f>Orçamento!B57</f>
        <v>4.5.1</v>
      </c>
      <c r="C78" s="109" t="str">
        <f>Orçamento!C57</f>
        <v>Concreto armado 20 MPA vigas e pilares</v>
      </c>
      <c r="D78" s="609" t="s">
        <v>763</v>
      </c>
      <c r="E78" s="110"/>
      <c r="F78" s="111"/>
      <c r="G78" s="111"/>
      <c r="H78" s="111"/>
      <c r="I78" s="111"/>
      <c r="J78" s="111"/>
      <c r="K78" s="111"/>
      <c r="L78" s="84"/>
      <c r="M78" s="71"/>
      <c r="N78" s="71"/>
      <c r="Q78" s="357"/>
      <c r="R78" s="357"/>
      <c r="S78" s="357"/>
      <c r="T78" s="357"/>
    </row>
    <row r="79" spans="2:20" s="66" customFormat="1" ht="18.75">
      <c r="B79" s="293"/>
      <c r="C79" s="126"/>
      <c r="D79" s="87"/>
      <c r="E79" s="126" t="s">
        <v>790</v>
      </c>
      <c r="F79" s="88">
        <f>61.16+2.25</f>
        <v>63.41</v>
      </c>
      <c r="G79" s="88">
        <v>0.12</v>
      </c>
      <c r="H79" s="88">
        <v>0.4</v>
      </c>
      <c r="I79" s="131"/>
      <c r="J79" s="88">
        <f>F79*G79*H79</f>
        <v>3.04368</v>
      </c>
      <c r="K79" s="131"/>
      <c r="L79" s="89">
        <f>J79</f>
        <v>3.04368</v>
      </c>
      <c r="M79" s="71"/>
      <c r="N79" s="71"/>
      <c r="Q79" s="357"/>
      <c r="R79" s="357"/>
      <c r="S79" s="357"/>
      <c r="T79" s="357"/>
    </row>
    <row r="80" spans="2:20" s="66" customFormat="1" ht="18.75">
      <c r="B80" s="293"/>
      <c r="C80" s="126"/>
      <c r="D80" s="87"/>
      <c r="E80" s="126" t="s">
        <v>791</v>
      </c>
      <c r="F80" s="88">
        <v>0.25</v>
      </c>
      <c r="G80" s="88">
        <v>0.12</v>
      </c>
      <c r="H80" s="88">
        <v>3.3</v>
      </c>
      <c r="I80" s="131"/>
      <c r="J80" s="88">
        <f>F80*G80*H80</f>
        <v>0.09899999999999999</v>
      </c>
      <c r="K80" s="88">
        <v>20</v>
      </c>
      <c r="L80" s="89">
        <f>K80*J80</f>
        <v>1.9799999999999998</v>
      </c>
      <c r="M80" s="71"/>
      <c r="N80" s="71"/>
      <c r="Q80" s="357"/>
      <c r="R80" s="357"/>
      <c r="S80" s="357"/>
      <c r="T80" s="357"/>
    </row>
    <row r="81" spans="2:20" s="66" customFormat="1" ht="18.75">
      <c r="B81" s="417"/>
      <c r="C81" s="113"/>
      <c r="D81" s="93"/>
      <c r="E81" s="113"/>
      <c r="F81" s="95"/>
      <c r="G81" s="95"/>
      <c r="H81" s="95"/>
      <c r="I81" s="114"/>
      <c r="J81" s="95"/>
      <c r="K81" s="114"/>
      <c r="L81" s="97">
        <f>SUM(L79:L80)</f>
        <v>5.02368</v>
      </c>
      <c r="M81" s="71"/>
      <c r="N81" s="71"/>
      <c r="Q81" s="357"/>
      <c r="R81" s="357"/>
      <c r="S81" s="357"/>
      <c r="T81" s="357"/>
    </row>
    <row r="82" spans="2:20" s="66" customFormat="1" ht="72">
      <c r="B82" s="291" t="str">
        <f>Orçamento!B58</f>
        <v>4.5.2</v>
      </c>
      <c r="C82" s="109" t="str">
        <f>Orçamento!C58</f>
        <v>laje pre-mold beta 12 p/3,5kn/m2 vao 4,1m incl vigotas tijolos armaduranegativa capeamento 3cm concreto 15mpa escoramento materiais e mao de obra</v>
      </c>
      <c r="D82" s="609" t="s">
        <v>39</v>
      </c>
      <c r="E82" s="109"/>
      <c r="F82" s="83"/>
      <c r="G82" s="83"/>
      <c r="H82" s="83"/>
      <c r="I82" s="111"/>
      <c r="J82" s="83"/>
      <c r="K82" s="111"/>
      <c r="L82" s="84"/>
      <c r="M82" s="71"/>
      <c r="N82" s="71"/>
      <c r="Q82" s="357"/>
      <c r="R82" s="357"/>
      <c r="S82" s="357"/>
      <c r="T82" s="357"/>
    </row>
    <row r="83" spans="2:20" s="66" customFormat="1" ht="18.75">
      <c r="B83" s="293"/>
      <c r="C83" s="126"/>
      <c r="D83" s="87"/>
      <c r="E83" s="126" t="s">
        <v>767</v>
      </c>
      <c r="F83" s="88"/>
      <c r="G83" s="88"/>
      <c r="H83" s="88"/>
      <c r="I83" s="88">
        <v>99.51</v>
      </c>
      <c r="J83" s="88"/>
      <c r="K83" s="131"/>
      <c r="L83" s="89">
        <f>I83</f>
        <v>99.51</v>
      </c>
      <c r="M83" s="71"/>
      <c r="N83" s="71"/>
      <c r="Q83" s="357"/>
      <c r="R83" s="357"/>
      <c r="S83" s="357"/>
      <c r="T83" s="357"/>
    </row>
    <row r="84" spans="2:20" s="66" customFormat="1" ht="18.75">
      <c r="B84" s="417"/>
      <c r="C84" s="113"/>
      <c r="D84" s="93"/>
      <c r="E84" s="113"/>
      <c r="F84" s="95"/>
      <c r="G84" s="95"/>
      <c r="H84" s="95"/>
      <c r="I84" s="114"/>
      <c r="J84" s="95"/>
      <c r="K84" s="114"/>
      <c r="L84" s="97">
        <f>SUM(L83)</f>
        <v>99.51</v>
      </c>
      <c r="M84" s="71"/>
      <c r="N84" s="71"/>
      <c r="Q84" s="357"/>
      <c r="R84" s="357"/>
      <c r="S84" s="357"/>
      <c r="T84" s="357"/>
    </row>
    <row r="85" spans="2:12" ht="18">
      <c r="B85" s="603" t="str">
        <f>Orçamento!B59</f>
        <v>5.00</v>
      </c>
      <c r="C85" s="604" t="str">
        <f>Orçamento!C59</f>
        <v>PAREDES E PAINÉIS</v>
      </c>
      <c r="D85" s="604"/>
      <c r="E85" s="629"/>
      <c r="F85" s="630"/>
      <c r="G85" s="630"/>
      <c r="H85" s="630"/>
      <c r="I85" s="606"/>
      <c r="J85" s="630"/>
      <c r="K85" s="606"/>
      <c r="L85" s="631"/>
    </row>
    <row r="86" spans="2:12" ht="54">
      <c r="B86" s="704" t="str">
        <f>Orçamento!B60</f>
        <v>5.1</v>
      </c>
      <c r="C86" s="411" t="str">
        <f>Orçamento!C60</f>
        <v>alvenaria de tijolo cerâmico furado (9x19x19)cm c/argamassa mista de cal hidratada esp.=9cm (1:2:8), junta 1cm </v>
      </c>
      <c r="D86" s="87" t="s">
        <v>39</v>
      </c>
      <c r="E86" s="192"/>
      <c r="F86" s="131"/>
      <c r="G86" s="131"/>
      <c r="H86" s="131"/>
      <c r="I86" s="131"/>
      <c r="J86" s="131"/>
      <c r="K86" s="131"/>
      <c r="L86" s="273"/>
    </row>
    <row r="87" spans="2:12" ht="18">
      <c r="B87" s="379"/>
      <c r="C87" s="86"/>
      <c r="D87" s="132"/>
      <c r="E87" s="134" t="s">
        <v>521</v>
      </c>
      <c r="F87" s="131"/>
      <c r="G87" s="131"/>
      <c r="H87" s="131"/>
      <c r="I87" s="88">
        <f>338.54+354.48</f>
        <v>693.02</v>
      </c>
      <c r="J87" s="131"/>
      <c r="K87" s="131"/>
      <c r="L87" s="89">
        <f>I87</f>
        <v>693.02</v>
      </c>
    </row>
    <row r="88" spans="2:12" ht="18">
      <c r="B88" s="379"/>
      <c r="C88" s="86"/>
      <c r="D88" s="132"/>
      <c r="E88" s="134" t="s">
        <v>522</v>
      </c>
      <c r="F88" s="131"/>
      <c r="G88" s="131"/>
      <c r="H88" s="131"/>
      <c r="I88" s="88">
        <f>8.42+8.98+8.72</f>
        <v>26.119999999999997</v>
      </c>
      <c r="J88" s="131"/>
      <c r="K88" s="131"/>
      <c r="L88" s="89">
        <f>I88</f>
        <v>26.119999999999997</v>
      </c>
    </row>
    <row r="89" spans="2:12" ht="18">
      <c r="B89" s="150"/>
      <c r="C89" s="116"/>
      <c r="D89" s="116"/>
      <c r="E89" s="125"/>
      <c r="F89" s="114"/>
      <c r="G89" s="114"/>
      <c r="H89" s="114"/>
      <c r="I89" s="114"/>
      <c r="J89" s="114"/>
      <c r="K89" s="114"/>
      <c r="L89" s="97">
        <f>L87-L88</f>
        <v>666.9</v>
      </c>
    </row>
    <row r="90" spans="2:12" ht="18">
      <c r="B90" s="423" t="str">
        <f>Orçamento!B67</f>
        <v>5.4</v>
      </c>
      <c r="C90" s="424" t="str">
        <f>Orçamento!C67</f>
        <v>Interligação com hospital</v>
      </c>
      <c r="D90" s="424"/>
      <c r="E90" s="425"/>
      <c r="F90" s="426"/>
      <c r="G90" s="426"/>
      <c r="H90" s="426"/>
      <c r="I90" s="426"/>
      <c r="J90" s="426"/>
      <c r="K90" s="426"/>
      <c r="L90" s="427"/>
    </row>
    <row r="91" spans="2:12" ht="54">
      <c r="B91" s="704" t="str">
        <f>Orçamento!B68</f>
        <v>5.4.1</v>
      </c>
      <c r="C91" s="275" t="str">
        <f>Orçamento!C68</f>
        <v>alvenaria de tijolo cerâmico furado (9x19x19)cm c/argamassa mista de cal hidratada esp.=9cm (1:2:8), junta 1cm </v>
      </c>
      <c r="D91" s="87" t="s">
        <v>39</v>
      </c>
      <c r="E91" s="192"/>
      <c r="F91" s="131"/>
      <c r="G91" s="131"/>
      <c r="H91" s="131"/>
      <c r="I91" s="131"/>
      <c r="J91" s="131"/>
      <c r="K91" s="131"/>
      <c r="L91" s="99"/>
    </row>
    <row r="92" spans="2:12" ht="18">
      <c r="B92" s="133"/>
      <c r="C92" s="411"/>
      <c r="D92" s="87"/>
      <c r="E92" s="134" t="s">
        <v>1102</v>
      </c>
      <c r="F92" s="88">
        <v>58.91</v>
      </c>
      <c r="G92" s="131"/>
      <c r="H92" s="88">
        <v>4.04</v>
      </c>
      <c r="I92" s="88">
        <f>F92*H92</f>
        <v>237.9964</v>
      </c>
      <c r="J92" s="131"/>
      <c r="K92" s="131"/>
      <c r="L92" s="89">
        <f>I92</f>
        <v>237.9964</v>
      </c>
    </row>
    <row r="93" spans="2:12" ht="18">
      <c r="B93" s="133"/>
      <c r="C93" s="411"/>
      <c r="D93" s="87"/>
      <c r="E93" s="134" t="s">
        <v>767</v>
      </c>
      <c r="F93" s="88">
        <v>2.25</v>
      </c>
      <c r="G93" s="131"/>
      <c r="H93" s="88">
        <v>3</v>
      </c>
      <c r="I93" s="88">
        <f>F93*H93</f>
        <v>6.75</v>
      </c>
      <c r="J93" s="131"/>
      <c r="K93" s="131"/>
      <c r="L93" s="89">
        <f>I93</f>
        <v>6.75</v>
      </c>
    </row>
    <row r="94" spans="2:12" ht="18">
      <c r="B94" s="133"/>
      <c r="C94" s="411"/>
      <c r="D94" s="87"/>
      <c r="E94" s="134" t="s">
        <v>516</v>
      </c>
      <c r="F94" s="88">
        <v>2.25</v>
      </c>
      <c r="G94" s="88"/>
      <c r="H94" s="88">
        <v>1.04</v>
      </c>
      <c r="I94" s="88">
        <f>F94*H94</f>
        <v>2.34</v>
      </c>
      <c r="J94" s="131"/>
      <c r="K94" s="131"/>
      <c r="L94" s="89">
        <f>I94</f>
        <v>2.34</v>
      </c>
    </row>
    <row r="95" spans="2:12" ht="18">
      <c r="B95" s="133"/>
      <c r="C95" s="411"/>
      <c r="D95" s="87"/>
      <c r="E95" s="129" t="s">
        <v>1101</v>
      </c>
      <c r="F95" s="88">
        <f>12.39-6.19</f>
        <v>6.2</v>
      </c>
      <c r="G95" s="131"/>
      <c r="H95" s="88">
        <v>1.04</v>
      </c>
      <c r="I95" s="88">
        <f>F95*H95</f>
        <v>6.448</v>
      </c>
      <c r="J95" s="131"/>
      <c r="K95" s="131"/>
      <c r="L95" s="89">
        <f>I95</f>
        <v>6.448</v>
      </c>
    </row>
    <row r="96" spans="2:12" ht="18">
      <c r="B96" s="133"/>
      <c r="C96" s="132"/>
      <c r="D96" s="132"/>
      <c r="E96" s="192"/>
      <c r="F96" s="131"/>
      <c r="G96" s="131"/>
      <c r="H96" s="131"/>
      <c r="I96" s="131"/>
      <c r="J96" s="131"/>
      <c r="K96" s="131"/>
      <c r="L96" s="99">
        <f>SUM(L92:L95)</f>
        <v>253.5344</v>
      </c>
    </row>
    <row r="97" spans="2:12" ht="18">
      <c r="B97" s="703" t="str">
        <f>Orçamento!B72</f>
        <v>5.5.2</v>
      </c>
      <c r="C97" s="620" t="str">
        <f>Orçamento!C72</f>
        <v>Cintas e pilaretes de concreto armado</v>
      </c>
      <c r="D97" s="609" t="s">
        <v>763</v>
      </c>
      <c r="E97" s="110"/>
      <c r="F97" s="111"/>
      <c r="G97" s="111"/>
      <c r="H97" s="111"/>
      <c r="I97" s="111"/>
      <c r="J97" s="111"/>
      <c r="K97" s="111"/>
      <c r="L97" s="84"/>
    </row>
    <row r="98" spans="2:12" ht="18">
      <c r="B98" s="704"/>
      <c r="C98" s="275"/>
      <c r="D98" s="87"/>
      <c r="E98" s="98" t="s">
        <v>523</v>
      </c>
      <c r="F98" s="88">
        <v>0.15</v>
      </c>
      <c r="G98" s="88">
        <v>0.15</v>
      </c>
      <c r="H98" s="88">
        <v>1.7</v>
      </c>
      <c r="I98" s="88"/>
      <c r="J98" s="88">
        <f>F98*G98*H98</f>
        <v>0.03825</v>
      </c>
      <c r="K98" s="88">
        <v>23</v>
      </c>
      <c r="L98" s="89">
        <f>J98*K98</f>
        <v>0.87975</v>
      </c>
    </row>
    <row r="99" spans="2:12" ht="18">
      <c r="B99" s="685"/>
      <c r="C99" s="132"/>
      <c r="D99" s="132"/>
      <c r="E99" s="98" t="s">
        <v>86</v>
      </c>
      <c r="F99" s="88">
        <f>F92+F94+F95</f>
        <v>67.36</v>
      </c>
      <c r="G99" s="88">
        <v>0.1</v>
      </c>
      <c r="H99" s="88">
        <v>0.15</v>
      </c>
      <c r="I99" s="88"/>
      <c r="J99" s="88">
        <f>F99*G99*H99</f>
        <v>1.0104</v>
      </c>
      <c r="K99" s="90"/>
      <c r="L99" s="89">
        <f>J99</f>
        <v>1.0104</v>
      </c>
    </row>
    <row r="100" spans="2:12" ht="18">
      <c r="B100" s="150"/>
      <c r="C100" s="116"/>
      <c r="D100" s="116"/>
      <c r="E100" s="125"/>
      <c r="F100" s="114"/>
      <c r="G100" s="114"/>
      <c r="H100" s="114"/>
      <c r="I100" s="114"/>
      <c r="J100" s="114"/>
      <c r="K100" s="114"/>
      <c r="L100" s="97">
        <f>SUM(L98:L99)</f>
        <v>1.89015</v>
      </c>
    </row>
    <row r="101" spans="2:12" ht="18">
      <c r="B101" s="614" t="str">
        <f>Orçamento!B70</f>
        <v>5.5</v>
      </c>
      <c r="C101" s="615" t="str">
        <f>Orçamento!C70</f>
        <v>Platibanda CPN e Circulação</v>
      </c>
      <c r="D101" s="615"/>
      <c r="E101" s="616"/>
      <c r="F101" s="617"/>
      <c r="G101" s="617"/>
      <c r="H101" s="617"/>
      <c r="I101" s="617"/>
      <c r="J101" s="617"/>
      <c r="K101" s="617"/>
      <c r="L101" s="618"/>
    </row>
    <row r="102" spans="2:12" ht="54">
      <c r="B102" s="85" t="str">
        <f>Orçamento!B71</f>
        <v>5.5.1</v>
      </c>
      <c r="C102" s="86" t="str">
        <f>Orçamento!C71</f>
        <v>alvenaria de tijolo cerâmico furado (9x19x19)cm c/argamassa mista de cal hidratada esp.=9cm (1:2:8), junta 1cm </v>
      </c>
      <c r="D102" s="87" t="s">
        <v>39</v>
      </c>
      <c r="E102" s="98"/>
      <c r="F102" s="88"/>
      <c r="G102" s="88"/>
      <c r="H102" s="88"/>
      <c r="I102" s="88"/>
      <c r="J102" s="88"/>
      <c r="K102" s="90"/>
      <c r="L102" s="99"/>
    </row>
    <row r="103" spans="2:12" ht="18">
      <c r="B103" s="85"/>
      <c r="C103" s="86"/>
      <c r="D103" s="87"/>
      <c r="E103" s="98" t="s">
        <v>516</v>
      </c>
      <c r="F103" s="88">
        <v>65.9</v>
      </c>
      <c r="G103" s="88"/>
      <c r="H103" s="88">
        <v>1.7</v>
      </c>
      <c r="I103" s="88">
        <f>F103*H103</f>
        <v>112.03</v>
      </c>
      <c r="J103" s="88"/>
      <c r="K103" s="88"/>
      <c r="L103" s="89">
        <f>I103</f>
        <v>112.03</v>
      </c>
    </row>
    <row r="104" spans="2:12" ht="18">
      <c r="B104" s="85"/>
      <c r="C104" s="86"/>
      <c r="D104" s="87"/>
      <c r="E104" s="129" t="s">
        <v>520</v>
      </c>
      <c r="F104" s="88">
        <v>2</v>
      </c>
      <c r="G104" s="88"/>
      <c r="H104" s="88">
        <v>2.17</v>
      </c>
      <c r="I104" s="88">
        <f>F104*H104</f>
        <v>4.34</v>
      </c>
      <c r="J104" s="88"/>
      <c r="K104" s="88"/>
      <c r="L104" s="89">
        <f>I104</f>
        <v>4.34</v>
      </c>
    </row>
    <row r="105" spans="2:12" ht="18">
      <c r="B105" s="91"/>
      <c r="C105" s="92"/>
      <c r="D105" s="93"/>
      <c r="E105" s="101"/>
      <c r="F105" s="95"/>
      <c r="G105" s="95"/>
      <c r="H105" s="95"/>
      <c r="I105" s="95"/>
      <c r="J105" s="95"/>
      <c r="K105" s="96"/>
      <c r="L105" s="97">
        <f>SUM(L103:L104)</f>
        <v>116.37</v>
      </c>
    </row>
    <row r="106" spans="2:12" ht="18">
      <c r="B106" s="619" t="str">
        <f>Orçamento!B72</f>
        <v>5.5.2</v>
      </c>
      <c r="C106" s="620" t="str">
        <f>Orçamento!C72</f>
        <v>Cintas e pilaretes de concreto armado</v>
      </c>
      <c r="D106" s="87" t="s">
        <v>763</v>
      </c>
      <c r="E106" s="100"/>
      <c r="F106" s="83"/>
      <c r="G106" s="83"/>
      <c r="H106" s="83"/>
      <c r="I106" s="83"/>
      <c r="J106" s="83"/>
      <c r="K106" s="82"/>
      <c r="L106" s="84"/>
    </row>
    <row r="107" spans="2:12" ht="18">
      <c r="B107" s="85"/>
      <c r="C107" s="275"/>
      <c r="D107" s="87"/>
      <c r="E107" s="98" t="s">
        <v>523</v>
      </c>
      <c r="F107" s="88">
        <v>0.15</v>
      </c>
      <c r="G107" s="88">
        <v>0.15</v>
      </c>
      <c r="H107" s="88">
        <v>1.7</v>
      </c>
      <c r="I107" s="88"/>
      <c r="J107" s="88">
        <f>F107*G107*H107</f>
        <v>0.03825</v>
      </c>
      <c r="K107" s="88">
        <v>23</v>
      </c>
      <c r="L107" s="89">
        <f>J107*K107</f>
        <v>0.87975</v>
      </c>
    </row>
    <row r="108" spans="2:12" ht="18">
      <c r="B108" s="85"/>
      <c r="C108" s="275"/>
      <c r="D108" s="87"/>
      <c r="E108" s="98" t="s">
        <v>86</v>
      </c>
      <c r="F108" s="88">
        <v>65.9</v>
      </c>
      <c r="G108" s="88">
        <v>0.1</v>
      </c>
      <c r="H108" s="88">
        <v>0.15</v>
      </c>
      <c r="I108" s="88"/>
      <c r="J108" s="88">
        <f>F108*G108*H108</f>
        <v>0.9885</v>
      </c>
      <c r="K108" s="90"/>
      <c r="L108" s="89">
        <f>J108</f>
        <v>0.9885</v>
      </c>
    </row>
    <row r="109" spans="2:12" ht="18">
      <c r="B109" s="91"/>
      <c r="C109" s="93"/>
      <c r="D109" s="93"/>
      <c r="E109" s="101"/>
      <c r="F109" s="95"/>
      <c r="G109" s="95"/>
      <c r="H109" s="95"/>
      <c r="I109" s="95"/>
      <c r="J109" s="95"/>
      <c r="K109" s="96"/>
      <c r="L109" s="97">
        <f>SUM(L107:L108)</f>
        <v>1.8682500000000002</v>
      </c>
    </row>
    <row r="110" spans="2:12" ht="18">
      <c r="B110" s="614" t="str">
        <f>Orçamento!B73</f>
        <v>5.6</v>
      </c>
      <c r="C110" s="615" t="str">
        <f>Orçamento!C73</f>
        <v>Muro</v>
      </c>
      <c r="D110" s="615"/>
      <c r="E110" s="616"/>
      <c r="F110" s="617"/>
      <c r="G110" s="617"/>
      <c r="H110" s="617"/>
      <c r="I110" s="617"/>
      <c r="J110" s="617"/>
      <c r="K110" s="617"/>
      <c r="L110" s="618"/>
    </row>
    <row r="111" spans="2:12" ht="54">
      <c r="B111" s="621" t="str">
        <f>Orçamento!B74</f>
        <v>5.6.1</v>
      </c>
      <c r="C111" s="622" t="str">
        <f>Orçamento!C74</f>
        <v>alvenaria de tijolo cerâmico furado (9x19x19)cm c/argamassa mista de cal hidratada esp.=9cm (1:2:8), junta 1cm </v>
      </c>
      <c r="D111" s="609" t="s">
        <v>39</v>
      </c>
      <c r="E111" s="100"/>
      <c r="F111" s="83"/>
      <c r="G111" s="83"/>
      <c r="H111" s="83"/>
      <c r="I111" s="83"/>
      <c r="J111" s="83"/>
      <c r="K111" s="82"/>
      <c r="L111" s="84"/>
    </row>
    <row r="112" spans="2:12" ht="18">
      <c r="B112" s="85"/>
      <c r="C112" s="87"/>
      <c r="D112" s="87"/>
      <c r="E112" s="98" t="s">
        <v>803</v>
      </c>
      <c r="F112" s="88">
        <v>11.88</v>
      </c>
      <c r="G112" s="88"/>
      <c r="H112" s="88">
        <v>2.55</v>
      </c>
      <c r="I112" s="88"/>
      <c r="J112" s="88">
        <f>F112*H112</f>
        <v>30.294</v>
      </c>
      <c r="K112" s="90"/>
      <c r="L112" s="89">
        <f>J112</f>
        <v>30.294</v>
      </c>
    </row>
    <row r="113" spans="2:12" ht="18">
      <c r="B113" s="91"/>
      <c r="C113" s="93"/>
      <c r="D113" s="93"/>
      <c r="E113" s="101"/>
      <c r="F113" s="95"/>
      <c r="G113" s="95"/>
      <c r="H113" s="95"/>
      <c r="I113" s="95"/>
      <c r="J113" s="95"/>
      <c r="K113" s="96"/>
      <c r="L113" s="97">
        <f>SUM(L112)</f>
        <v>30.294</v>
      </c>
    </row>
    <row r="114" spans="2:12" ht="18">
      <c r="B114" s="704" t="str">
        <f>Orçamento!B75</f>
        <v>5.6.2</v>
      </c>
      <c r="C114" s="87" t="str">
        <f>Orçamento!C75</f>
        <v>Cintas e pilaretes de concreto armado</v>
      </c>
      <c r="D114" s="87" t="s">
        <v>763</v>
      </c>
      <c r="E114" s="98"/>
      <c r="F114" s="88"/>
      <c r="G114" s="88"/>
      <c r="H114" s="88"/>
      <c r="I114" s="88"/>
      <c r="J114" s="88"/>
      <c r="K114" s="90"/>
      <c r="L114" s="99"/>
    </row>
    <row r="115" spans="2:12" ht="18">
      <c r="B115" s="85"/>
      <c r="C115" s="87"/>
      <c r="D115" s="87"/>
      <c r="E115" s="98" t="s">
        <v>804</v>
      </c>
      <c r="F115" s="88">
        <v>0.15</v>
      </c>
      <c r="G115" s="88">
        <v>0.15</v>
      </c>
      <c r="H115" s="88">
        <v>3</v>
      </c>
      <c r="I115" s="88"/>
      <c r="J115" s="88">
        <f>F115*G115*H115</f>
        <v>0.0675</v>
      </c>
      <c r="K115" s="88">
        <v>4</v>
      </c>
      <c r="L115" s="89">
        <f>J115*K115</f>
        <v>0.27</v>
      </c>
    </row>
    <row r="116" spans="2:12" ht="18">
      <c r="B116" s="85"/>
      <c r="C116" s="87"/>
      <c r="D116" s="87"/>
      <c r="E116" s="98" t="s">
        <v>86</v>
      </c>
      <c r="F116" s="88">
        <v>11.88</v>
      </c>
      <c r="G116" s="88">
        <v>0.1</v>
      </c>
      <c r="H116" s="88">
        <v>0.15</v>
      </c>
      <c r="I116" s="88"/>
      <c r="J116" s="88">
        <f>F116*G116*H116</f>
        <v>0.17820000000000003</v>
      </c>
      <c r="K116" s="90"/>
      <c r="L116" s="89">
        <f>J116</f>
        <v>0.17820000000000003</v>
      </c>
    </row>
    <row r="117" spans="2:12" ht="18">
      <c r="B117" s="85"/>
      <c r="C117" s="87"/>
      <c r="D117" s="87"/>
      <c r="E117" s="98"/>
      <c r="F117" s="88"/>
      <c r="G117" s="88"/>
      <c r="H117" s="88"/>
      <c r="I117" s="88"/>
      <c r="J117" s="88"/>
      <c r="K117" s="90"/>
      <c r="L117" s="99">
        <f>SUM(L115:L116)</f>
        <v>0.44820000000000004</v>
      </c>
    </row>
    <row r="118" spans="2:12" ht="18">
      <c r="B118" s="74" t="str">
        <f>Orçamento!B76</f>
        <v>6.00</v>
      </c>
      <c r="C118" s="75" t="str">
        <f>Orçamento!C76</f>
        <v>COBERTURA</v>
      </c>
      <c r="D118" s="75"/>
      <c r="E118" s="76"/>
      <c r="F118" s="77"/>
      <c r="G118" s="77"/>
      <c r="H118" s="77"/>
      <c r="I118" s="77"/>
      <c r="J118" s="77"/>
      <c r="K118" s="77"/>
      <c r="L118" s="78"/>
    </row>
    <row r="119" spans="2:12" ht="36">
      <c r="B119" s="121" t="str">
        <f>Orçamento!B77</f>
        <v>6.1</v>
      </c>
      <c r="C119" s="122" t="str">
        <f>Orçamento!C77</f>
        <v>Estrutura metálica em tesouras ou treliças, vão livre de 12m, fornecimento e montagem</v>
      </c>
      <c r="D119" s="279" t="s">
        <v>39</v>
      </c>
      <c r="E119" s="136"/>
      <c r="F119" s="137"/>
      <c r="G119" s="137"/>
      <c r="H119" s="137"/>
      <c r="I119" s="137"/>
      <c r="J119" s="137"/>
      <c r="K119" s="137"/>
      <c r="L119" s="138"/>
    </row>
    <row r="120" spans="2:12" ht="18">
      <c r="B120" s="117"/>
      <c r="C120" s="118"/>
      <c r="D120" s="187"/>
      <c r="E120" s="284"/>
      <c r="F120" s="283"/>
      <c r="G120" s="283"/>
      <c r="H120" s="283"/>
      <c r="I120" s="283"/>
      <c r="J120" s="283"/>
      <c r="K120" s="283"/>
      <c r="L120" s="380"/>
    </row>
    <row r="121" spans="2:12" ht="18">
      <c r="B121" s="117"/>
      <c r="C121" s="118"/>
      <c r="D121" s="187"/>
      <c r="E121" s="118" t="s">
        <v>524</v>
      </c>
      <c r="F121" s="88">
        <v>24.95</v>
      </c>
      <c r="G121" s="88">
        <v>5.1</v>
      </c>
      <c r="H121" s="283"/>
      <c r="I121" s="88">
        <f>F121*G121</f>
        <v>127.24499999999999</v>
      </c>
      <c r="J121" s="283"/>
      <c r="K121" s="88">
        <v>2</v>
      </c>
      <c r="L121" s="89">
        <f>I121*K121-8.35</f>
        <v>246.14</v>
      </c>
    </row>
    <row r="122" spans="2:12" ht="18">
      <c r="B122" s="135"/>
      <c r="C122" s="124"/>
      <c r="D122" s="280"/>
      <c r="E122" s="124"/>
      <c r="F122" s="139"/>
      <c r="G122" s="139"/>
      <c r="H122" s="139"/>
      <c r="I122" s="274"/>
      <c r="J122" s="139"/>
      <c r="K122" s="139"/>
      <c r="L122" s="281">
        <f>L121</f>
        <v>246.14</v>
      </c>
    </row>
    <row r="123" spans="2:12" ht="90">
      <c r="B123" s="117" t="str">
        <f>Orçamento!B78</f>
        <v>6.2</v>
      </c>
      <c r="C123" s="118" t="str">
        <f>Orçamento!C78</f>
        <v>Telhamento com telha de alumínio dupla, trapezoidal, tipo sanduíche 0,6mm pré pintada em duas faces, com isolamento de espuma rígida de poliuretano 30mm pintada (termoacústica)</v>
      </c>
      <c r="D123" s="187" t="s">
        <v>39</v>
      </c>
      <c r="E123" s="136"/>
      <c r="F123" s="137"/>
      <c r="G123" s="137"/>
      <c r="H123" s="137"/>
      <c r="I123" s="137"/>
      <c r="J123" s="137"/>
      <c r="K123" s="137"/>
      <c r="L123" s="141"/>
    </row>
    <row r="124" spans="2:12" ht="18">
      <c r="B124" s="117"/>
      <c r="C124" s="118"/>
      <c r="D124" s="187"/>
      <c r="E124" s="118" t="s">
        <v>524</v>
      </c>
      <c r="F124" s="88">
        <v>24.95</v>
      </c>
      <c r="G124" s="88">
        <v>5.1</v>
      </c>
      <c r="H124" s="283"/>
      <c r="I124" s="88">
        <f>F124*G124</f>
        <v>127.24499999999999</v>
      </c>
      <c r="J124" s="283"/>
      <c r="K124" s="88">
        <v>2</v>
      </c>
      <c r="L124" s="89">
        <f>I124*K124-8.35</f>
        <v>246.14</v>
      </c>
    </row>
    <row r="125" spans="2:12" ht="18">
      <c r="B125" s="119"/>
      <c r="C125" s="124"/>
      <c r="D125" s="120"/>
      <c r="E125" s="124"/>
      <c r="F125" s="139"/>
      <c r="G125" s="139"/>
      <c r="H125" s="139"/>
      <c r="I125" s="274"/>
      <c r="J125" s="139"/>
      <c r="K125" s="139"/>
      <c r="L125" s="281">
        <f>L124</f>
        <v>246.14</v>
      </c>
    </row>
    <row r="126" spans="2:12" ht="39.75" customHeight="1">
      <c r="B126" s="154" t="str">
        <f>Orçamento!B79</f>
        <v>6.3</v>
      </c>
      <c r="C126" s="286" t="str">
        <f>Orçamento!C79</f>
        <v>Rufo em concreto armado, largura 40cm, espessura 3cm</v>
      </c>
      <c r="D126" s="279" t="s">
        <v>34</v>
      </c>
      <c r="E126" s="136"/>
      <c r="F126" s="137"/>
      <c r="G126" s="137"/>
      <c r="H126" s="137"/>
      <c r="I126" s="137"/>
      <c r="J126" s="137"/>
      <c r="K126" s="137"/>
      <c r="L126" s="141"/>
    </row>
    <row r="127" spans="2:12" ht="18">
      <c r="B127" s="155"/>
      <c r="C127" s="145"/>
      <c r="D127" s="187"/>
      <c r="E127" s="118" t="s">
        <v>100</v>
      </c>
      <c r="F127" s="88">
        <v>70</v>
      </c>
      <c r="G127" s="283"/>
      <c r="H127" s="283"/>
      <c r="I127" s="283"/>
      <c r="J127" s="283"/>
      <c r="K127" s="283"/>
      <c r="L127" s="89">
        <f>F127</f>
        <v>70</v>
      </c>
    </row>
    <row r="128" spans="2:12" ht="18">
      <c r="B128" s="155"/>
      <c r="C128" s="145"/>
      <c r="D128" s="187"/>
      <c r="E128" s="118" t="s">
        <v>754</v>
      </c>
      <c r="F128" s="88">
        <v>5.5</v>
      </c>
      <c r="G128" s="283"/>
      <c r="H128" s="283"/>
      <c r="I128" s="283"/>
      <c r="J128" s="283"/>
      <c r="K128" s="283"/>
      <c r="L128" s="89">
        <f>F128</f>
        <v>5.5</v>
      </c>
    </row>
    <row r="129" spans="2:12" ht="18">
      <c r="B129" s="151"/>
      <c r="C129" s="272"/>
      <c r="D129" s="287"/>
      <c r="E129" s="124"/>
      <c r="F129" s="95"/>
      <c r="G129" s="139"/>
      <c r="H129" s="139"/>
      <c r="I129" s="274"/>
      <c r="J129" s="139"/>
      <c r="K129" s="139"/>
      <c r="L129" s="288">
        <f>SUM(L127:L128)</f>
        <v>75.5</v>
      </c>
    </row>
    <row r="130" spans="2:12" ht="18">
      <c r="B130" s="155" t="str">
        <f>Orçamento!B80</f>
        <v>6.4</v>
      </c>
      <c r="C130" s="145" t="str">
        <f>Orçamento!C80</f>
        <v>Chapim de concreto pré-moladado</v>
      </c>
      <c r="D130" s="187" t="s">
        <v>34</v>
      </c>
      <c r="E130" s="284"/>
      <c r="F130" s="283"/>
      <c r="G130" s="283"/>
      <c r="H130" s="283"/>
      <c r="I130" s="283"/>
      <c r="J130" s="283"/>
      <c r="K130" s="283"/>
      <c r="L130" s="285"/>
    </row>
    <row r="131" spans="2:12" ht="18">
      <c r="B131" s="155"/>
      <c r="C131" s="145"/>
      <c r="D131" s="282"/>
      <c r="E131" s="118" t="s">
        <v>100</v>
      </c>
      <c r="F131" s="88">
        <v>83.31</v>
      </c>
      <c r="G131" s="283"/>
      <c r="H131" s="283"/>
      <c r="I131" s="123"/>
      <c r="J131" s="283"/>
      <c r="K131" s="283"/>
      <c r="L131" s="437">
        <f>F131</f>
        <v>83.31</v>
      </c>
    </row>
    <row r="132" spans="2:12" ht="18">
      <c r="B132" s="155"/>
      <c r="C132" s="145"/>
      <c r="D132" s="282"/>
      <c r="E132" s="118" t="s">
        <v>755</v>
      </c>
      <c r="F132" s="88">
        <v>48.45</v>
      </c>
      <c r="G132" s="283"/>
      <c r="H132" s="283"/>
      <c r="I132" s="123"/>
      <c r="J132" s="283"/>
      <c r="K132" s="283"/>
      <c r="L132" s="437">
        <f>F132</f>
        <v>48.45</v>
      </c>
    </row>
    <row r="133" spans="2:12" ht="18">
      <c r="B133" s="155"/>
      <c r="C133" s="145"/>
      <c r="D133" s="282"/>
      <c r="E133" s="118"/>
      <c r="F133" s="88"/>
      <c r="G133" s="283"/>
      <c r="H133" s="283"/>
      <c r="I133" s="123"/>
      <c r="J133" s="283"/>
      <c r="K133" s="283"/>
      <c r="L133" s="281">
        <f>SUM(L131:L132)</f>
        <v>131.76</v>
      </c>
    </row>
    <row r="134" spans="2:12" ht="72">
      <c r="B134" s="438" t="str">
        <f>Orçamento!B81</f>
        <v>6.5</v>
      </c>
      <c r="C134" s="286" t="str">
        <f>Orçamento!C81</f>
        <v>Impermeabilização de Laje com manta asfáltica protegida filme de alumínio gofrado (de espessura 0,8mm), inclusa aplicação de emulsão asfaltica, E=3mm</v>
      </c>
      <c r="D134" s="279" t="s">
        <v>39</v>
      </c>
      <c r="E134" s="122"/>
      <c r="F134" s="83"/>
      <c r="G134" s="137"/>
      <c r="H134" s="137"/>
      <c r="I134" s="434"/>
      <c r="J134" s="137"/>
      <c r="K134" s="137"/>
      <c r="L134" s="435"/>
    </row>
    <row r="135" spans="2:12" ht="18">
      <c r="B135" s="155"/>
      <c r="C135" s="145"/>
      <c r="D135" s="282"/>
      <c r="E135" s="118" t="s">
        <v>759</v>
      </c>
      <c r="F135" s="88">
        <v>4.15</v>
      </c>
      <c r="G135" s="88">
        <v>3.45</v>
      </c>
      <c r="H135" s="283"/>
      <c r="I135" s="123">
        <f>F135*G135</f>
        <v>14.317500000000003</v>
      </c>
      <c r="J135" s="283"/>
      <c r="K135" s="283"/>
      <c r="L135" s="437">
        <f>I135</f>
        <v>14.317500000000003</v>
      </c>
    </row>
    <row r="136" spans="2:12" ht="18">
      <c r="B136" s="151"/>
      <c r="C136" s="272"/>
      <c r="D136" s="287"/>
      <c r="E136" s="124"/>
      <c r="F136" s="95"/>
      <c r="G136" s="139"/>
      <c r="H136" s="139"/>
      <c r="I136" s="274"/>
      <c r="J136" s="139"/>
      <c r="K136" s="139"/>
      <c r="L136" s="288">
        <f>SUM(L135:L135)</f>
        <v>14.317500000000003</v>
      </c>
    </row>
    <row r="137" spans="2:12" ht="18">
      <c r="B137" s="753" t="str">
        <f>Orçamento!B82</f>
        <v>6.6</v>
      </c>
      <c r="C137" s="632" t="str">
        <f>Orçamento!C82</f>
        <v>Calha de Alvenaria impermeabilizada</v>
      </c>
      <c r="D137" s="428"/>
      <c r="E137" s="429"/>
      <c r="F137" s="430"/>
      <c r="G137" s="430"/>
      <c r="H137" s="430"/>
      <c r="I137" s="431"/>
      <c r="J137" s="430"/>
      <c r="K137" s="430"/>
      <c r="L137" s="427"/>
    </row>
    <row r="138" spans="2:12" ht="54">
      <c r="B138" s="436" t="str">
        <f>Orçamento!B83</f>
        <v>6.6.1</v>
      </c>
      <c r="C138" s="286" t="str">
        <f>Orçamento!C83</f>
        <v>alvenaria de tijolo cerâmico furado (9x19x19)cm c/argamassa mista de cal hidratada esp.=9cm (1:2:8), junta 1cm </v>
      </c>
      <c r="D138" s="279" t="s">
        <v>39</v>
      </c>
      <c r="E138" s="122"/>
      <c r="F138" s="137"/>
      <c r="G138" s="137"/>
      <c r="H138" s="137"/>
      <c r="I138" s="434"/>
      <c r="J138" s="137"/>
      <c r="K138" s="137"/>
      <c r="L138" s="435"/>
    </row>
    <row r="139" spans="2:12" ht="18">
      <c r="B139" s="155"/>
      <c r="C139" s="145"/>
      <c r="D139" s="282"/>
      <c r="E139" s="118" t="s">
        <v>702</v>
      </c>
      <c r="F139" s="140">
        <v>24.95</v>
      </c>
      <c r="G139" s="283"/>
      <c r="H139" s="140">
        <v>0.4</v>
      </c>
      <c r="I139" s="123">
        <f>F139*H139</f>
        <v>9.98</v>
      </c>
      <c r="J139" s="283"/>
      <c r="K139" s="88">
        <v>2</v>
      </c>
      <c r="L139" s="437">
        <f>I139*K139</f>
        <v>19.96</v>
      </c>
    </row>
    <row r="140" spans="2:12" ht="18">
      <c r="B140" s="151"/>
      <c r="C140" s="272"/>
      <c r="D140" s="287"/>
      <c r="E140" s="124"/>
      <c r="F140" s="139"/>
      <c r="G140" s="139"/>
      <c r="H140" s="139"/>
      <c r="I140" s="274"/>
      <c r="J140" s="139"/>
      <c r="K140" s="139"/>
      <c r="L140" s="288">
        <f>L139</f>
        <v>19.96</v>
      </c>
    </row>
    <row r="141" spans="2:12" ht="54">
      <c r="B141" s="436" t="str">
        <f>Orçamento!B84</f>
        <v>6.6.2</v>
      </c>
      <c r="C141" s="286" t="str">
        <f>Orçamento!C84</f>
        <v>Chapisco traco 1:3 (cimento e areia media), espessura 0,5cm, preparo manual da argamassa</v>
      </c>
      <c r="D141" s="279" t="s">
        <v>39</v>
      </c>
      <c r="E141" s="122"/>
      <c r="F141" s="137"/>
      <c r="G141" s="137"/>
      <c r="H141" s="137"/>
      <c r="I141" s="434"/>
      <c r="J141" s="137"/>
      <c r="K141" s="137"/>
      <c r="L141" s="435"/>
    </row>
    <row r="142" spans="2:12" ht="18">
      <c r="B142" s="155"/>
      <c r="C142" s="145"/>
      <c r="D142" s="282"/>
      <c r="E142" s="118" t="s">
        <v>702</v>
      </c>
      <c r="F142" s="140">
        <v>24.95</v>
      </c>
      <c r="G142" s="283"/>
      <c r="H142" s="140">
        <f>0.4+0.15</f>
        <v>0.55</v>
      </c>
      <c r="I142" s="123">
        <f>F142*H142</f>
        <v>13.7225</v>
      </c>
      <c r="J142" s="283"/>
      <c r="K142" s="88">
        <v>2</v>
      </c>
      <c r="L142" s="437">
        <f>I142*K142</f>
        <v>27.445</v>
      </c>
    </row>
    <row r="143" spans="2:12" ht="18">
      <c r="B143" s="155"/>
      <c r="C143" s="145"/>
      <c r="D143" s="282"/>
      <c r="E143" s="118"/>
      <c r="F143" s="283"/>
      <c r="G143" s="283"/>
      <c r="H143" s="283"/>
      <c r="I143" s="123"/>
      <c r="J143" s="283"/>
      <c r="K143" s="283"/>
      <c r="L143" s="281">
        <f>L142</f>
        <v>27.445</v>
      </c>
    </row>
    <row r="144" spans="2:12" ht="36">
      <c r="B144" s="438" t="str">
        <f>Orçamento!B85</f>
        <v>6.6.3</v>
      </c>
      <c r="C144" s="620" t="str">
        <f>Orçamento!C85</f>
        <v>Reboco traco 1:2:8 (cimento, cal e areia media), espessura 2,0cm, preparo mecânico</v>
      </c>
      <c r="D144" s="279" t="s">
        <v>39</v>
      </c>
      <c r="E144" s="279"/>
      <c r="F144" s="122"/>
      <c r="G144" s="137"/>
      <c r="H144" s="137"/>
      <c r="I144" s="137"/>
      <c r="J144" s="434"/>
      <c r="K144" s="137"/>
      <c r="L144" s="138"/>
    </row>
    <row r="145" spans="2:12" ht="18">
      <c r="B145" s="155"/>
      <c r="C145" s="153"/>
      <c r="D145" s="145"/>
      <c r="E145" s="282" t="s">
        <v>702</v>
      </c>
      <c r="F145" s="140">
        <v>24.95</v>
      </c>
      <c r="G145" s="283"/>
      <c r="H145" s="140">
        <f>0.4+0.15</f>
        <v>0.55</v>
      </c>
      <c r="I145" s="123">
        <f>F145*H145</f>
        <v>13.7225</v>
      </c>
      <c r="J145" s="123"/>
      <c r="K145" s="88">
        <v>2</v>
      </c>
      <c r="L145" s="437">
        <f>I145*K145</f>
        <v>27.445</v>
      </c>
    </row>
    <row r="146" spans="2:12" ht="18">
      <c r="B146" s="151"/>
      <c r="C146" s="152"/>
      <c r="D146" s="272"/>
      <c r="E146" s="287"/>
      <c r="F146" s="124"/>
      <c r="G146" s="139"/>
      <c r="H146" s="139"/>
      <c r="I146" s="139"/>
      <c r="J146" s="274"/>
      <c r="K146" s="139"/>
      <c r="L146" s="288">
        <f>L145</f>
        <v>27.445</v>
      </c>
    </row>
    <row r="147" spans="2:12" ht="72">
      <c r="B147" s="754" t="str">
        <f>Orçamento!B86</f>
        <v>6.6.4</v>
      </c>
      <c r="C147" s="145" t="str">
        <f>Orçamento!C86</f>
        <v>Impermeabilização de Laje com manta asfáltica protegida filme de alumínio gofrado (de espessura 0,8mm), inclusa aplicação de emulsão asfaltica, E=3mm</v>
      </c>
      <c r="D147" s="279" t="s">
        <v>39</v>
      </c>
      <c r="E147" s="118"/>
      <c r="F147" s="283"/>
      <c r="G147" s="283"/>
      <c r="H147" s="283"/>
      <c r="I147" s="123"/>
      <c r="J147" s="283"/>
      <c r="K147" s="283"/>
      <c r="L147" s="281"/>
    </row>
    <row r="148" spans="2:12" ht="18">
      <c r="B148" s="155"/>
      <c r="C148" s="145"/>
      <c r="D148" s="282"/>
      <c r="E148" s="282" t="s">
        <v>702</v>
      </c>
      <c r="F148" s="140">
        <v>24.95</v>
      </c>
      <c r="G148" s="140">
        <f>0.8+0.3</f>
        <v>1.1</v>
      </c>
      <c r="H148" s="140">
        <v>0.4</v>
      </c>
      <c r="I148" s="123">
        <f>F148*G148+2*F148*H148+2*G148*H148</f>
        <v>48.285000000000004</v>
      </c>
      <c r="J148" s="283"/>
      <c r="K148" s="283"/>
      <c r="L148" s="437">
        <f>I148</f>
        <v>48.285000000000004</v>
      </c>
    </row>
    <row r="149" spans="2:12" ht="18">
      <c r="B149" s="155"/>
      <c r="C149" s="145"/>
      <c r="D149" s="282"/>
      <c r="E149" s="118"/>
      <c r="F149" s="283"/>
      <c r="G149" s="283"/>
      <c r="H149" s="283"/>
      <c r="I149" s="123"/>
      <c r="J149" s="283"/>
      <c r="K149" s="283"/>
      <c r="L149" s="281">
        <f>L148</f>
        <v>48.285000000000004</v>
      </c>
    </row>
    <row r="150" spans="2:12" ht="18">
      <c r="B150" s="608" t="str">
        <f>Orçamento!B87</f>
        <v>6.7</v>
      </c>
      <c r="C150" s="424" t="str">
        <f>Orçamento!C87</f>
        <v>Interligação com hospital e muro</v>
      </c>
      <c r="D150" s="424"/>
      <c r="E150" s="425"/>
      <c r="F150" s="426"/>
      <c r="G150" s="426"/>
      <c r="H150" s="426"/>
      <c r="I150" s="426"/>
      <c r="J150" s="426"/>
      <c r="K150" s="426"/>
      <c r="L150" s="427"/>
    </row>
    <row r="151" spans="2:12" ht="36">
      <c r="B151" s="436" t="str">
        <f>Orçamento!B88</f>
        <v>6.7.1</v>
      </c>
      <c r="C151" s="286" t="str">
        <f>Orçamento!C88</f>
        <v>Estrutura metálica em tesouras ou treliças, vão livre de 12m, fornecimento e montagem</v>
      </c>
      <c r="D151" s="279" t="s">
        <v>39</v>
      </c>
      <c r="E151" s="122"/>
      <c r="F151" s="137"/>
      <c r="G151" s="137"/>
      <c r="H151" s="137"/>
      <c r="I151" s="434"/>
      <c r="J151" s="137"/>
      <c r="K151" s="137"/>
      <c r="L151" s="435"/>
    </row>
    <row r="152" spans="2:12" ht="18">
      <c r="B152" s="755"/>
      <c r="C152" s="145"/>
      <c r="D152" s="187"/>
      <c r="E152" s="118" t="s">
        <v>767</v>
      </c>
      <c r="F152" s="140">
        <v>32.36</v>
      </c>
      <c r="G152" s="140">
        <v>1.96</v>
      </c>
      <c r="H152" s="283"/>
      <c r="I152" s="123">
        <f>F152*G152</f>
        <v>63.425599999999996</v>
      </c>
      <c r="J152" s="283"/>
      <c r="K152" s="283"/>
      <c r="L152" s="437">
        <f>I152</f>
        <v>63.425599999999996</v>
      </c>
    </row>
    <row r="153" spans="2:12" ht="18">
      <c r="B153" s="755"/>
      <c r="C153" s="145"/>
      <c r="D153" s="187"/>
      <c r="E153" s="118" t="s">
        <v>767</v>
      </c>
      <c r="F153" s="140">
        <v>2.47</v>
      </c>
      <c r="G153" s="140">
        <v>4.73</v>
      </c>
      <c r="H153" s="283"/>
      <c r="I153" s="123">
        <f>F153*G153</f>
        <v>11.683100000000001</v>
      </c>
      <c r="J153" s="283"/>
      <c r="K153" s="283"/>
      <c r="L153" s="437">
        <f>I153</f>
        <v>11.683100000000001</v>
      </c>
    </row>
    <row r="154" spans="2:12" ht="18">
      <c r="B154" s="151"/>
      <c r="C154" s="272"/>
      <c r="D154" s="287"/>
      <c r="E154" s="124"/>
      <c r="F154" s="139"/>
      <c r="G154" s="139"/>
      <c r="H154" s="139"/>
      <c r="I154" s="274"/>
      <c r="J154" s="139"/>
      <c r="K154" s="139"/>
      <c r="L154" s="288">
        <f>SUM(L152:L153)</f>
        <v>75.1087</v>
      </c>
    </row>
    <row r="155" spans="2:12" ht="90">
      <c r="B155" s="436" t="str">
        <f>Orçamento!B89</f>
        <v>6.7.2</v>
      </c>
      <c r="C155" s="286" t="str">
        <f>Orçamento!C89</f>
        <v>Telhamento com telha de alumínio dupla, trapezoidal, tipo sanduíche 0,6mm pré pintada em duas faces, com isolamento de espuma rígida de poliuretano 30mm pintada (termoacústica)</v>
      </c>
      <c r="D155" s="279" t="s">
        <v>39</v>
      </c>
      <c r="E155" s="122"/>
      <c r="F155" s="137"/>
      <c r="G155" s="137"/>
      <c r="H155" s="137"/>
      <c r="I155" s="434"/>
      <c r="J155" s="137"/>
      <c r="K155" s="137"/>
      <c r="L155" s="435"/>
    </row>
    <row r="156" spans="2:12" ht="18">
      <c r="B156" s="155"/>
      <c r="C156" s="145"/>
      <c r="D156" s="282"/>
      <c r="E156" s="118" t="s">
        <v>767</v>
      </c>
      <c r="F156" s="140">
        <v>32.36</v>
      </c>
      <c r="G156" s="140">
        <v>1.96</v>
      </c>
      <c r="H156" s="283"/>
      <c r="I156" s="123">
        <f>F156*G156</f>
        <v>63.425599999999996</v>
      </c>
      <c r="J156" s="283"/>
      <c r="K156" s="283"/>
      <c r="L156" s="437">
        <f>I156</f>
        <v>63.425599999999996</v>
      </c>
    </row>
    <row r="157" spans="2:12" ht="18">
      <c r="B157" s="155"/>
      <c r="C157" s="145"/>
      <c r="D157" s="282"/>
      <c r="E157" s="118" t="s">
        <v>767</v>
      </c>
      <c r="F157" s="140">
        <v>2.47</v>
      </c>
      <c r="G157" s="140">
        <v>4.73</v>
      </c>
      <c r="H157" s="283"/>
      <c r="I157" s="123">
        <f>F157*G157</f>
        <v>11.683100000000001</v>
      </c>
      <c r="J157" s="283"/>
      <c r="K157" s="283"/>
      <c r="L157" s="437">
        <f>I157</f>
        <v>11.683100000000001</v>
      </c>
    </row>
    <row r="158" spans="2:12" ht="18">
      <c r="B158" s="151"/>
      <c r="C158" s="272"/>
      <c r="D158" s="287"/>
      <c r="E158" s="124"/>
      <c r="F158" s="139"/>
      <c r="G158" s="139"/>
      <c r="H158" s="139"/>
      <c r="I158" s="274"/>
      <c r="J158" s="139"/>
      <c r="K158" s="139"/>
      <c r="L158" s="288">
        <f>SUM(L156:L157)</f>
        <v>75.1087</v>
      </c>
    </row>
    <row r="159" spans="2:12" ht="36">
      <c r="B159" s="436" t="str">
        <f>Orçamento!B90</f>
        <v>6.7.3</v>
      </c>
      <c r="C159" s="286" t="str">
        <f>Orçamento!C90</f>
        <v>Rufo em concreto armado, largura 40cm, espessura 3cm</v>
      </c>
      <c r="D159" s="279" t="s">
        <v>34</v>
      </c>
      <c r="E159" s="122"/>
      <c r="F159" s="137"/>
      <c r="G159" s="137"/>
      <c r="H159" s="137"/>
      <c r="I159" s="434"/>
      <c r="J159" s="137"/>
      <c r="K159" s="137"/>
      <c r="L159" s="435"/>
    </row>
    <row r="160" spans="2:12" ht="18">
      <c r="B160" s="155"/>
      <c r="C160" s="145"/>
      <c r="D160" s="282"/>
      <c r="E160" s="118" t="s">
        <v>767</v>
      </c>
      <c r="F160" s="140">
        <v>44.17</v>
      </c>
      <c r="G160" s="283"/>
      <c r="H160" s="283"/>
      <c r="I160" s="123"/>
      <c r="J160" s="283"/>
      <c r="K160" s="283"/>
      <c r="L160" s="437">
        <f>F160</f>
        <v>44.17</v>
      </c>
    </row>
    <row r="161" spans="2:12" ht="18">
      <c r="B161" s="151"/>
      <c r="C161" s="272"/>
      <c r="D161" s="287"/>
      <c r="E161" s="124"/>
      <c r="F161" s="139"/>
      <c r="G161" s="139"/>
      <c r="H161" s="139"/>
      <c r="I161" s="274"/>
      <c r="J161" s="139"/>
      <c r="K161" s="139"/>
      <c r="L161" s="288">
        <f>SUM(L160)</f>
        <v>44.17</v>
      </c>
    </row>
    <row r="162" spans="2:12" ht="18">
      <c r="B162" s="436" t="str">
        <f>Orçamento!B91</f>
        <v>6.7.4</v>
      </c>
      <c r="C162" s="286" t="str">
        <f>Orçamento!C91</f>
        <v>Chapim de concreto pré-moladado</v>
      </c>
      <c r="D162" s="279" t="s">
        <v>34</v>
      </c>
      <c r="E162" s="122"/>
      <c r="F162" s="137"/>
      <c r="G162" s="137"/>
      <c r="H162" s="137"/>
      <c r="I162" s="434"/>
      <c r="J162" s="137"/>
      <c r="K162" s="137"/>
      <c r="L162" s="435"/>
    </row>
    <row r="163" spans="2:12" ht="18">
      <c r="B163" s="155"/>
      <c r="C163" s="145"/>
      <c r="D163" s="282"/>
      <c r="E163" s="118" t="s">
        <v>767</v>
      </c>
      <c r="F163" s="140">
        <v>65.21</v>
      </c>
      <c r="G163" s="283"/>
      <c r="H163" s="283"/>
      <c r="I163" s="123"/>
      <c r="J163" s="283"/>
      <c r="K163" s="283"/>
      <c r="L163" s="437">
        <f>F163</f>
        <v>65.21</v>
      </c>
    </row>
    <row r="164" spans="2:12" ht="18">
      <c r="B164" s="155"/>
      <c r="C164" s="145"/>
      <c r="D164" s="282"/>
      <c r="E164" s="118" t="s">
        <v>764</v>
      </c>
      <c r="F164" s="88">
        <v>11.61</v>
      </c>
      <c r="G164" s="283"/>
      <c r="H164" s="283"/>
      <c r="I164" s="123"/>
      <c r="J164" s="283"/>
      <c r="K164" s="283"/>
      <c r="L164" s="437">
        <f>F164</f>
        <v>11.61</v>
      </c>
    </row>
    <row r="165" spans="2:12" ht="18">
      <c r="B165" s="155"/>
      <c r="C165" s="145"/>
      <c r="D165" s="282"/>
      <c r="E165" s="118"/>
      <c r="F165" s="283"/>
      <c r="G165" s="283"/>
      <c r="H165" s="283"/>
      <c r="I165" s="123"/>
      <c r="J165" s="283"/>
      <c r="K165" s="283"/>
      <c r="L165" s="281">
        <f>SUM(L163:L164)</f>
        <v>76.82</v>
      </c>
    </row>
    <row r="166" spans="2:12" ht="36">
      <c r="B166" s="436" t="str">
        <f>Orçamento!B92</f>
        <v>6.7.5</v>
      </c>
      <c r="C166" s="286" t="str">
        <f>Orçamento!C92</f>
        <v>Calha de chapa galvanizada 26 desenvolvimento 50cm</v>
      </c>
      <c r="D166" s="279" t="s">
        <v>34</v>
      </c>
      <c r="E166" s="122"/>
      <c r="F166" s="137"/>
      <c r="G166" s="137"/>
      <c r="H166" s="137"/>
      <c r="I166" s="434"/>
      <c r="J166" s="137"/>
      <c r="K166" s="137"/>
      <c r="L166" s="435"/>
    </row>
    <row r="167" spans="2:12" ht="18">
      <c r="B167" s="155"/>
      <c r="C167" s="145"/>
      <c r="D167" s="282"/>
      <c r="E167" s="118" t="s">
        <v>767</v>
      </c>
      <c r="F167" s="140">
        <v>34.36</v>
      </c>
      <c r="G167" s="283"/>
      <c r="H167" s="283"/>
      <c r="I167" s="123"/>
      <c r="J167" s="283"/>
      <c r="K167" s="283"/>
      <c r="L167" s="437">
        <f>F167</f>
        <v>34.36</v>
      </c>
    </row>
    <row r="168" spans="2:12" ht="18">
      <c r="B168" s="151"/>
      <c r="C168" s="272"/>
      <c r="D168" s="287"/>
      <c r="E168" s="124"/>
      <c r="F168" s="139"/>
      <c r="G168" s="139"/>
      <c r="H168" s="139"/>
      <c r="I168" s="274"/>
      <c r="J168" s="139"/>
      <c r="K168" s="139"/>
      <c r="L168" s="288">
        <f>SUM(L167)</f>
        <v>34.36</v>
      </c>
    </row>
    <row r="169" spans="2:12" ht="18">
      <c r="B169" s="603" t="str">
        <f>Orçamento!B93</f>
        <v>7.00</v>
      </c>
      <c r="C169" s="604" t="str">
        <f>Orçamento!C93</f>
        <v>ESQUADRIAS METÁLICAS</v>
      </c>
      <c r="D169" s="604"/>
      <c r="E169" s="605"/>
      <c r="F169" s="606"/>
      <c r="G169" s="606"/>
      <c r="H169" s="606"/>
      <c r="I169" s="606"/>
      <c r="J169" s="606"/>
      <c r="K169" s="606"/>
      <c r="L169" s="607"/>
    </row>
    <row r="170" spans="2:12" ht="18">
      <c r="B170" s="108" t="str">
        <f>Orçamento!B94</f>
        <v>7.1</v>
      </c>
      <c r="C170" s="109" t="str">
        <f>Orçamento!C94</f>
        <v>Janela em alumínio, cor branco, de correr</v>
      </c>
      <c r="D170" s="82" t="s">
        <v>39</v>
      </c>
      <c r="E170" s="110"/>
      <c r="F170" s="111"/>
      <c r="G170" s="111"/>
      <c r="H170" s="111"/>
      <c r="I170" s="111"/>
      <c r="J170" s="111"/>
      <c r="K170" s="149"/>
      <c r="L170" s="112"/>
    </row>
    <row r="171" spans="2:12" ht="18">
      <c r="B171" s="133"/>
      <c r="C171" s="132"/>
      <c r="D171" s="132"/>
      <c r="E171" s="126" t="s">
        <v>1065</v>
      </c>
      <c r="F171" s="131"/>
      <c r="G171" s="140">
        <v>1.2</v>
      </c>
      <c r="H171" s="140">
        <v>1.2</v>
      </c>
      <c r="I171" s="140">
        <f>G171*H171</f>
        <v>1.44</v>
      </c>
      <c r="J171" s="131"/>
      <c r="K171" s="140">
        <v>1</v>
      </c>
      <c r="L171" s="437">
        <f>I171*K171</f>
        <v>1.44</v>
      </c>
    </row>
    <row r="172" spans="2:12" ht="18">
      <c r="B172" s="133"/>
      <c r="C172" s="132"/>
      <c r="D172" s="132"/>
      <c r="E172" s="126" t="s">
        <v>1066</v>
      </c>
      <c r="F172" s="131"/>
      <c r="G172" s="140">
        <v>1.5</v>
      </c>
      <c r="H172" s="140">
        <v>1.5</v>
      </c>
      <c r="I172" s="140">
        <f>G172*H172</f>
        <v>2.25</v>
      </c>
      <c r="J172" s="131"/>
      <c r="K172" s="140">
        <v>1</v>
      </c>
      <c r="L172" s="437">
        <f>I172*K172</f>
        <v>2.25</v>
      </c>
    </row>
    <row r="173" spans="2:12" ht="18">
      <c r="B173" s="133"/>
      <c r="C173" s="132"/>
      <c r="D173" s="132"/>
      <c r="E173" s="126" t="s">
        <v>1067</v>
      </c>
      <c r="F173" s="131"/>
      <c r="G173" s="140">
        <v>1.5</v>
      </c>
      <c r="H173" s="140">
        <v>1.2</v>
      </c>
      <c r="I173" s="140">
        <f>G173*H173</f>
        <v>1.7999999999999998</v>
      </c>
      <c r="J173" s="131"/>
      <c r="K173" s="140">
        <v>1</v>
      </c>
      <c r="L173" s="437">
        <f>I173*K173</f>
        <v>1.7999999999999998</v>
      </c>
    </row>
    <row r="174" spans="2:12" ht="18">
      <c r="B174" s="133"/>
      <c r="C174" s="132"/>
      <c r="D174" s="132"/>
      <c r="E174" s="126" t="s">
        <v>1069</v>
      </c>
      <c r="F174" s="131"/>
      <c r="G174" s="140">
        <v>2</v>
      </c>
      <c r="H174" s="140">
        <v>2</v>
      </c>
      <c r="I174" s="140">
        <f>G174*H174</f>
        <v>4</v>
      </c>
      <c r="J174" s="131"/>
      <c r="K174" s="140">
        <v>1</v>
      </c>
      <c r="L174" s="437">
        <f>I174*K174</f>
        <v>4</v>
      </c>
    </row>
    <row r="175" spans="2:12" ht="18">
      <c r="B175" s="150"/>
      <c r="C175" s="116"/>
      <c r="D175" s="116"/>
      <c r="E175" s="113"/>
      <c r="F175" s="114"/>
      <c r="G175" s="148"/>
      <c r="H175" s="148"/>
      <c r="I175" s="148"/>
      <c r="J175" s="114"/>
      <c r="K175" s="148"/>
      <c r="L175" s="288">
        <f>SUM(L171:L174)</f>
        <v>9.49</v>
      </c>
    </row>
    <row r="176" spans="2:12" ht="18">
      <c r="B176" s="291" t="str">
        <f>Orçamento!B95</f>
        <v>7.2</v>
      </c>
      <c r="C176" s="109" t="str">
        <f>Orçamento!C95</f>
        <v>Janela em alumínio, cor branco, maximar</v>
      </c>
      <c r="D176" s="82" t="s">
        <v>39</v>
      </c>
      <c r="E176" s="109"/>
      <c r="F176" s="111"/>
      <c r="G176" s="149"/>
      <c r="H176" s="149"/>
      <c r="I176" s="149"/>
      <c r="J176" s="111"/>
      <c r="K176" s="149"/>
      <c r="L176" s="686"/>
    </row>
    <row r="177" spans="2:12" ht="18">
      <c r="B177" s="133"/>
      <c r="C177" s="132"/>
      <c r="D177" s="132"/>
      <c r="E177" s="126" t="s">
        <v>1068</v>
      </c>
      <c r="F177" s="131"/>
      <c r="G177" s="140">
        <v>0.8</v>
      </c>
      <c r="H177" s="140">
        <v>0.8</v>
      </c>
      <c r="I177" s="140">
        <f>G177*H177</f>
        <v>0.6400000000000001</v>
      </c>
      <c r="J177" s="131"/>
      <c r="K177" s="140">
        <v>1</v>
      </c>
      <c r="L177" s="437">
        <f>I177*K177</f>
        <v>0.6400000000000001</v>
      </c>
    </row>
    <row r="178" spans="2:12" ht="18">
      <c r="B178" s="133"/>
      <c r="C178" s="132"/>
      <c r="D178" s="132"/>
      <c r="E178" s="126" t="s">
        <v>1070</v>
      </c>
      <c r="F178" s="131"/>
      <c r="G178" s="140">
        <v>0.9</v>
      </c>
      <c r="H178" s="140">
        <v>0.6</v>
      </c>
      <c r="I178" s="140">
        <f>G178*H178</f>
        <v>0.54</v>
      </c>
      <c r="J178" s="131"/>
      <c r="K178" s="140">
        <v>3</v>
      </c>
      <c r="L178" s="437">
        <f>I178*K178</f>
        <v>1.62</v>
      </c>
    </row>
    <row r="179" spans="2:12" ht="18">
      <c r="B179" s="133"/>
      <c r="C179" s="132"/>
      <c r="D179" s="132"/>
      <c r="E179" s="126" t="s">
        <v>1071</v>
      </c>
      <c r="F179" s="131"/>
      <c r="G179" s="140">
        <v>1</v>
      </c>
      <c r="H179" s="140">
        <v>0.6</v>
      </c>
      <c r="I179" s="140">
        <f>G179*H179</f>
        <v>0.6</v>
      </c>
      <c r="J179" s="131"/>
      <c r="K179" s="140">
        <v>5</v>
      </c>
      <c r="L179" s="437">
        <f>I179*K179</f>
        <v>3</v>
      </c>
    </row>
    <row r="180" spans="2:12" ht="18">
      <c r="B180" s="150"/>
      <c r="C180" s="116"/>
      <c r="D180" s="116"/>
      <c r="E180" s="125"/>
      <c r="F180" s="114"/>
      <c r="G180" s="148"/>
      <c r="H180" s="148"/>
      <c r="I180" s="148"/>
      <c r="J180" s="114"/>
      <c r="K180" s="148"/>
      <c r="L180" s="288">
        <f>SUM(L177:L179)</f>
        <v>5.26</v>
      </c>
    </row>
    <row r="181" spans="2:12" ht="36">
      <c r="B181" s="685" t="str">
        <f>Orçamento!B96</f>
        <v>7.3</v>
      </c>
      <c r="C181" s="109" t="str">
        <f>Orçamento!C96</f>
        <v>Caixilho fixo, em alumínio cor branco, p/ visor</v>
      </c>
      <c r="D181" s="82" t="s">
        <v>39</v>
      </c>
      <c r="E181" s="192"/>
      <c r="F181" s="131"/>
      <c r="G181" s="140"/>
      <c r="H181" s="140"/>
      <c r="I181" s="140"/>
      <c r="J181" s="131"/>
      <c r="K181" s="140"/>
      <c r="L181" s="437"/>
    </row>
    <row r="182" spans="2:12" ht="18">
      <c r="B182" s="133"/>
      <c r="C182" s="132"/>
      <c r="D182" s="132"/>
      <c r="E182" s="126" t="s">
        <v>1072</v>
      </c>
      <c r="F182" s="131"/>
      <c r="G182" s="140">
        <v>2.9</v>
      </c>
      <c r="H182" s="140">
        <v>1</v>
      </c>
      <c r="I182" s="140">
        <f>G182*H182</f>
        <v>2.9</v>
      </c>
      <c r="J182" s="131"/>
      <c r="K182" s="140"/>
      <c r="L182" s="437">
        <f>I182</f>
        <v>2.9</v>
      </c>
    </row>
    <row r="183" spans="2:12" ht="18">
      <c r="B183" s="133"/>
      <c r="C183" s="132"/>
      <c r="D183" s="132"/>
      <c r="E183" s="126" t="s">
        <v>1073</v>
      </c>
      <c r="F183" s="131"/>
      <c r="G183" s="140">
        <v>1.1</v>
      </c>
      <c r="H183" s="140">
        <v>1</v>
      </c>
      <c r="I183" s="140">
        <f>G183*H183</f>
        <v>1.1</v>
      </c>
      <c r="J183" s="131"/>
      <c r="K183" s="131"/>
      <c r="L183" s="437">
        <f>I183</f>
        <v>1.1</v>
      </c>
    </row>
    <row r="184" spans="2:12" ht="18">
      <c r="B184" s="133"/>
      <c r="C184" s="132"/>
      <c r="D184" s="132"/>
      <c r="E184" s="192"/>
      <c r="F184" s="131"/>
      <c r="G184" s="131"/>
      <c r="H184" s="131"/>
      <c r="I184" s="131"/>
      <c r="J184" s="131"/>
      <c r="K184" s="131"/>
      <c r="L184" s="288">
        <f>SUM(L182:L183)</f>
        <v>4</v>
      </c>
    </row>
    <row r="185" spans="2:12" ht="36">
      <c r="B185" s="291" t="str">
        <f>Orçamento!B97</f>
        <v>7.4</v>
      </c>
      <c r="C185" s="109" t="str">
        <f>Orçamento!C97</f>
        <v>Porta em aluminio, cor branco, de correr ou abrir, completa, exclusive vidros</v>
      </c>
      <c r="D185" s="82" t="s">
        <v>39</v>
      </c>
      <c r="E185" s="80"/>
      <c r="F185" s="81"/>
      <c r="G185" s="83"/>
      <c r="H185" s="83"/>
      <c r="I185" s="83"/>
      <c r="J185" s="81"/>
      <c r="K185" s="83"/>
      <c r="L185" s="84"/>
    </row>
    <row r="186" spans="2:12" ht="18">
      <c r="B186" s="293"/>
      <c r="C186" s="126"/>
      <c r="D186" s="90"/>
      <c r="E186" s="102" t="s">
        <v>529</v>
      </c>
      <c r="F186" s="60"/>
      <c r="G186" s="140">
        <v>1.6</v>
      </c>
      <c r="H186" s="140">
        <v>2.5</v>
      </c>
      <c r="I186" s="140">
        <f>G186*H186</f>
        <v>4</v>
      </c>
      <c r="J186" s="102"/>
      <c r="K186" s="140">
        <v>1</v>
      </c>
      <c r="L186" s="142">
        <f>I186*K186</f>
        <v>4</v>
      </c>
    </row>
    <row r="187" spans="2:12" ht="18">
      <c r="B187" s="293"/>
      <c r="C187" s="126"/>
      <c r="D187" s="90"/>
      <c r="E187" s="102" t="s">
        <v>530</v>
      </c>
      <c r="F187" s="102"/>
      <c r="G187" s="140">
        <v>2</v>
      </c>
      <c r="H187" s="140">
        <v>2.1</v>
      </c>
      <c r="I187" s="140">
        <f>G187*H187</f>
        <v>4.2</v>
      </c>
      <c r="J187" s="102"/>
      <c r="K187" s="140">
        <v>5</v>
      </c>
      <c r="L187" s="142">
        <f>I187*K187</f>
        <v>21</v>
      </c>
    </row>
    <row r="188" spans="2:12" ht="18">
      <c r="B188" s="293"/>
      <c r="C188" s="126"/>
      <c r="D188" s="90"/>
      <c r="E188" s="102" t="s">
        <v>531</v>
      </c>
      <c r="F188" s="102"/>
      <c r="G188" s="140">
        <v>2.2</v>
      </c>
      <c r="H188" s="140">
        <v>2.1</v>
      </c>
      <c r="I188" s="140">
        <f>G188*H188</f>
        <v>4.620000000000001</v>
      </c>
      <c r="J188" s="102"/>
      <c r="K188" s="140">
        <v>1</v>
      </c>
      <c r="L188" s="142">
        <f>I188*K188</f>
        <v>4.620000000000001</v>
      </c>
    </row>
    <row r="189" spans="2:12" ht="18">
      <c r="B189" s="85"/>
      <c r="C189" s="126"/>
      <c r="D189" s="90"/>
      <c r="E189" s="92"/>
      <c r="F189" s="94"/>
      <c r="G189" s="95"/>
      <c r="H189" s="95"/>
      <c r="I189" s="95"/>
      <c r="J189" s="94"/>
      <c r="K189" s="95"/>
      <c r="L189" s="97">
        <f>SUM(L186:L188)</f>
        <v>29.62</v>
      </c>
    </row>
    <row r="190" spans="2:12" ht="18">
      <c r="B190" s="291" t="str">
        <f>Orçamento!B98</f>
        <v>7.5</v>
      </c>
      <c r="C190" s="109" t="str">
        <f>Orçamento!C98</f>
        <v>Porta em alumínio, cor branco</v>
      </c>
      <c r="D190" s="82" t="s">
        <v>39</v>
      </c>
      <c r="E190" s="81"/>
      <c r="F190" s="81"/>
      <c r="G190" s="81"/>
      <c r="H190" s="81"/>
      <c r="I190" s="81"/>
      <c r="J190" s="81"/>
      <c r="K190" s="81"/>
      <c r="L190" s="127"/>
    </row>
    <row r="191" spans="2:12" ht="18">
      <c r="B191" s="85"/>
      <c r="C191" s="126"/>
      <c r="D191" s="90"/>
      <c r="E191" s="102" t="s">
        <v>533</v>
      </c>
      <c r="F191" s="102"/>
      <c r="G191" s="140">
        <v>0.8</v>
      </c>
      <c r="H191" s="140">
        <v>2.1</v>
      </c>
      <c r="I191" s="140">
        <f>G191*H191</f>
        <v>1.6800000000000002</v>
      </c>
      <c r="J191" s="102"/>
      <c r="K191" s="140">
        <v>1</v>
      </c>
      <c r="L191" s="289">
        <f>I191</f>
        <v>1.6800000000000002</v>
      </c>
    </row>
    <row r="192" spans="2:12" ht="18">
      <c r="B192" s="85"/>
      <c r="C192" s="126"/>
      <c r="D192" s="90"/>
      <c r="E192" s="102" t="s">
        <v>532</v>
      </c>
      <c r="F192" s="102"/>
      <c r="G192" s="140">
        <v>0.92</v>
      </c>
      <c r="H192" s="140">
        <v>2.1</v>
      </c>
      <c r="I192" s="140">
        <f>G192*H192</f>
        <v>1.9320000000000002</v>
      </c>
      <c r="J192" s="102"/>
      <c r="K192" s="140">
        <v>1</v>
      </c>
      <c r="L192" s="289">
        <f>I192</f>
        <v>1.9320000000000002</v>
      </c>
    </row>
    <row r="193" spans="2:12" ht="18">
      <c r="B193" s="85"/>
      <c r="C193" s="126"/>
      <c r="D193" s="102"/>
      <c r="E193" s="102"/>
      <c r="F193" s="102"/>
      <c r="G193" s="88"/>
      <c r="H193" s="88"/>
      <c r="I193" s="88"/>
      <c r="J193" s="102"/>
      <c r="K193" s="102"/>
      <c r="L193" s="99">
        <f>SUM(L191:L192)</f>
        <v>3.612</v>
      </c>
    </row>
    <row r="194" spans="2:12" ht="18">
      <c r="B194" s="423" t="str">
        <f>Orçamento!B99</f>
        <v>7.10</v>
      </c>
      <c r="C194" s="424" t="str">
        <f>Orçamento!C99</f>
        <v>Interligação com hospital, muro e gradil</v>
      </c>
      <c r="D194" s="424"/>
      <c r="E194" s="425"/>
      <c r="F194" s="426"/>
      <c r="G194" s="426"/>
      <c r="H194" s="426"/>
      <c r="I194" s="426"/>
      <c r="J194" s="426"/>
      <c r="K194" s="426"/>
      <c r="L194" s="427"/>
    </row>
    <row r="195" spans="2:12" ht="36">
      <c r="B195" s="293" t="str">
        <f>Orçamento!B100</f>
        <v>7.10.1</v>
      </c>
      <c r="C195" s="126" t="str">
        <f>Orçamento!C100</f>
        <v>Janela em aluminio anonizado branco tipo correr (1,35x1,10) m</v>
      </c>
      <c r="D195" s="82" t="s">
        <v>39</v>
      </c>
      <c r="E195" s="102"/>
      <c r="F195" s="102"/>
      <c r="G195" s="88"/>
      <c r="H195" s="88"/>
      <c r="I195" s="88"/>
      <c r="J195" s="102"/>
      <c r="K195" s="102"/>
      <c r="L195" s="99"/>
    </row>
    <row r="196" spans="2:12" ht="18">
      <c r="B196" s="85"/>
      <c r="C196" s="126"/>
      <c r="D196" s="102"/>
      <c r="E196" s="102" t="s">
        <v>767</v>
      </c>
      <c r="F196" s="102"/>
      <c r="G196" s="140">
        <v>1.35</v>
      </c>
      <c r="H196" s="88">
        <v>1.1</v>
      </c>
      <c r="I196" s="140">
        <f>G196*H196</f>
        <v>1.4850000000000003</v>
      </c>
      <c r="J196" s="102"/>
      <c r="K196" s="140">
        <v>14</v>
      </c>
      <c r="L196" s="89">
        <f>I196*K196</f>
        <v>20.790000000000006</v>
      </c>
    </row>
    <row r="197" spans="2:12" ht="18">
      <c r="B197" s="85"/>
      <c r="C197" s="126"/>
      <c r="D197" s="102"/>
      <c r="E197" s="102"/>
      <c r="F197" s="102"/>
      <c r="G197" s="140"/>
      <c r="H197" s="88"/>
      <c r="I197" s="140"/>
      <c r="J197" s="102"/>
      <c r="K197" s="140"/>
      <c r="L197" s="99">
        <f>SUM(L196)</f>
        <v>20.790000000000006</v>
      </c>
    </row>
    <row r="198" spans="2:12" ht="36">
      <c r="B198" s="291" t="str">
        <f>Orçamento!B101</f>
        <v>7.10.2</v>
      </c>
      <c r="C198" s="109" t="str">
        <f>Orçamento!C101</f>
        <v>Porta em aluminio, cor branco, de correr ou abrir, completa, exclusive vidros</v>
      </c>
      <c r="D198" s="82" t="s">
        <v>39</v>
      </c>
      <c r="E198" s="81"/>
      <c r="F198" s="81"/>
      <c r="G198" s="149"/>
      <c r="H198" s="83"/>
      <c r="I198" s="149"/>
      <c r="J198" s="81"/>
      <c r="K198" s="149"/>
      <c r="L198" s="84"/>
    </row>
    <row r="199" spans="2:12" ht="18">
      <c r="B199" s="85"/>
      <c r="C199" s="126"/>
      <c r="D199" s="102"/>
      <c r="E199" s="102" t="s">
        <v>767</v>
      </c>
      <c r="F199" s="102"/>
      <c r="G199" s="140">
        <v>1.6</v>
      </c>
      <c r="H199" s="88">
        <v>2.1</v>
      </c>
      <c r="I199" s="140">
        <f>G199*H199</f>
        <v>3.3600000000000003</v>
      </c>
      <c r="J199" s="102"/>
      <c r="K199" s="140">
        <v>2</v>
      </c>
      <c r="L199" s="89">
        <f>I199*K199</f>
        <v>6.720000000000001</v>
      </c>
    </row>
    <row r="200" spans="2:12" ht="18">
      <c r="B200" s="85"/>
      <c r="C200" s="126"/>
      <c r="D200" s="102"/>
      <c r="E200" s="102"/>
      <c r="F200" s="102"/>
      <c r="G200" s="140"/>
      <c r="H200" s="88"/>
      <c r="I200" s="140"/>
      <c r="J200" s="102"/>
      <c r="K200" s="140"/>
      <c r="L200" s="99">
        <f>SUM(L199)</f>
        <v>6.720000000000001</v>
      </c>
    </row>
    <row r="201" spans="2:12" ht="18">
      <c r="B201" s="684" t="str">
        <f>Orçamento!B102</f>
        <v>8.00</v>
      </c>
      <c r="C201" s="104" t="str">
        <f>Orçamento!C102</f>
        <v>ESQUADRIAS MAADEIRA</v>
      </c>
      <c r="D201" s="104"/>
      <c r="E201" s="105"/>
      <c r="F201" s="106"/>
      <c r="G201" s="106"/>
      <c r="H201" s="106"/>
      <c r="I201" s="106"/>
      <c r="J201" s="106"/>
      <c r="K201" s="106"/>
      <c r="L201" s="107"/>
    </row>
    <row r="202" spans="2:12" ht="18">
      <c r="B202" s="108" t="str">
        <f>Orçamento!B109</f>
        <v>8.6</v>
      </c>
      <c r="C202" s="109" t="str">
        <f>Orçamento!C109</f>
        <v>Revestimento vinílico</v>
      </c>
      <c r="D202" s="82" t="s">
        <v>39</v>
      </c>
      <c r="E202" s="110"/>
      <c r="F202" s="111"/>
      <c r="G202" s="111"/>
      <c r="H202" s="111"/>
      <c r="I202" s="111"/>
      <c r="J202" s="111"/>
      <c r="K202" s="111"/>
      <c r="L202" s="112"/>
    </row>
    <row r="203" spans="2:12" ht="18">
      <c r="B203" s="685"/>
      <c r="C203" s="132"/>
      <c r="D203" s="132"/>
      <c r="E203" s="126" t="s">
        <v>1051</v>
      </c>
      <c r="F203" s="131"/>
      <c r="G203" s="88">
        <v>0.6</v>
      </c>
      <c r="H203" s="88">
        <v>0.85</v>
      </c>
      <c r="I203" s="140">
        <f>G203*H203*2</f>
        <v>1.02</v>
      </c>
      <c r="J203" s="131"/>
      <c r="K203" s="88">
        <v>2</v>
      </c>
      <c r="L203" s="89">
        <f>I203*K203</f>
        <v>2.04</v>
      </c>
    </row>
    <row r="204" spans="2:12" ht="18">
      <c r="B204" s="685"/>
      <c r="C204" s="132"/>
      <c r="D204" s="132"/>
      <c r="E204" s="126" t="s">
        <v>1052</v>
      </c>
      <c r="F204" s="131"/>
      <c r="G204" s="88">
        <v>0.7</v>
      </c>
      <c r="H204" s="88">
        <v>0.85</v>
      </c>
      <c r="I204" s="140">
        <f>G204*H204*2</f>
        <v>1.19</v>
      </c>
      <c r="J204" s="131"/>
      <c r="K204" s="88">
        <v>2</v>
      </c>
      <c r="L204" s="89">
        <f>I204*K204</f>
        <v>2.38</v>
      </c>
    </row>
    <row r="205" spans="2:12" ht="18">
      <c r="B205" s="685"/>
      <c r="C205" s="132"/>
      <c r="D205" s="132"/>
      <c r="E205" s="126" t="s">
        <v>1053</v>
      </c>
      <c r="F205" s="131"/>
      <c r="G205" s="88">
        <v>0.8</v>
      </c>
      <c r="H205" s="88">
        <v>0.85</v>
      </c>
      <c r="I205" s="140">
        <f>G205*H205*2</f>
        <v>1.36</v>
      </c>
      <c r="J205" s="131"/>
      <c r="K205" s="88">
        <v>7</v>
      </c>
      <c r="L205" s="89">
        <f>I205*K205</f>
        <v>9.520000000000001</v>
      </c>
    </row>
    <row r="206" spans="2:12" ht="18">
      <c r="B206" s="685"/>
      <c r="C206" s="132"/>
      <c r="D206" s="132"/>
      <c r="E206" s="126" t="s">
        <v>1054</v>
      </c>
      <c r="F206" s="131"/>
      <c r="G206" s="131"/>
      <c r="H206" s="131"/>
      <c r="I206" s="140">
        <f>6.21*2</f>
        <v>12.42</v>
      </c>
      <c r="J206" s="131"/>
      <c r="K206" s="131"/>
      <c r="L206" s="89">
        <f>I206</f>
        <v>12.42</v>
      </c>
    </row>
    <row r="207" spans="2:12" ht="18">
      <c r="B207" s="685"/>
      <c r="C207" s="132"/>
      <c r="D207" s="132"/>
      <c r="E207" s="192"/>
      <c r="F207" s="131"/>
      <c r="G207" s="131"/>
      <c r="H207" s="131"/>
      <c r="I207" s="131"/>
      <c r="J207" s="131"/>
      <c r="K207" s="131"/>
      <c r="L207" s="99">
        <f>SUM(L203:L206)</f>
        <v>26.36</v>
      </c>
    </row>
    <row r="208" spans="2:12" ht="18">
      <c r="B208" s="608" t="str">
        <f>Orçamento!B110</f>
        <v>8.6</v>
      </c>
      <c r="C208" s="424" t="str">
        <f>Orçamento!C110</f>
        <v>Interligação com hospital</v>
      </c>
      <c r="D208" s="424"/>
      <c r="E208" s="425"/>
      <c r="F208" s="426"/>
      <c r="G208" s="426"/>
      <c r="H208" s="426"/>
      <c r="I208" s="426"/>
      <c r="J208" s="426"/>
      <c r="K208" s="426"/>
      <c r="L208" s="427"/>
    </row>
    <row r="209" spans="2:12" ht="72">
      <c r="B209" s="291" t="str">
        <f>Orçamento!B111</f>
        <v>8.6.1</v>
      </c>
      <c r="C209" s="109" t="str">
        <f>Orçamento!C111</f>
        <v>porta de madeira compensada lisa para pintura, 160 x 210 x 3,5cm,duas folhas, incluso aduela 2a, alizar 2a e dobradiça vai-vem</v>
      </c>
      <c r="D209" s="82" t="s">
        <v>39</v>
      </c>
      <c r="E209" s="81"/>
      <c r="F209" s="81"/>
      <c r="G209" s="83"/>
      <c r="H209" s="83"/>
      <c r="I209" s="83"/>
      <c r="J209" s="81"/>
      <c r="K209" s="81"/>
      <c r="L209" s="84"/>
    </row>
    <row r="210" spans="2:12" ht="18">
      <c r="B210" s="85"/>
      <c r="C210" s="126"/>
      <c r="D210" s="102"/>
      <c r="E210" s="102" t="s">
        <v>767</v>
      </c>
      <c r="F210" s="102"/>
      <c r="G210" s="88"/>
      <c r="H210" s="88"/>
      <c r="I210" s="88"/>
      <c r="J210" s="102"/>
      <c r="K210" s="140">
        <v>2</v>
      </c>
      <c r="L210" s="89">
        <f>K210</f>
        <v>2</v>
      </c>
    </row>
    <row r="211" spans="2:12" ht="18">
      <c r="B211" s="91"/>
      <c r="C211" s="113"/>
      <c r="D211" s="94"/>
      <c r="E211" s="94"/>
      <c r="F211" s="94"/>
      <c r="G211" s="95"/>
      <c r="H211" s="95"/>
      <c r="I211" s="95"/>
      <c r="J211" s="94"/>
      <c r="K211" s="94"/>
      <c r="L211" s="97">
        <f>SUM(L210)</f>
        <v>2</v>
      </c>
    </row>
    <row r="212" spans="2:12" ht="18">
      <c r="B212" s="293" t="str">
        <f>Orçamento!B112</f>
        <v>8.6.3</v>
      </c>
      <c r="C212" s="126" t="str">
        <f>Orçamento!C112</f>
        <v>Revestimento vinílico</v>
      </c>
      <c r="D212" s="102"/>
      <c r="E212" s="102"/>
      <c r="F212" s="102"/>
      <c r="G212" s="88"/>
      <c r="H212" s="88"/>
      <c r="I212" s="88"/>
      <c r="J212" s="102"/>
      <c r="K212" s="102"/>
      <c r="L212" s="99"/>
    </row>
    <row r="213" spans="2:12" ht="18">
      <c r="B213" s="85"/>
      <c r="C213" s="126"/>
      <c r="D213" s="102"/>
      <c r="E213" s="102" t="s">
        <v>767</v>
      </c>
      <c r="F213" s="102"/>
      <c r="G213" s="88">
        <v>1.6</v>
      </c>
      <c r="H213" s="88">
        <v>0.85</v>
      </c>
      <c r="I213" s="140">
        <f>G213*H213*2</f>
        <v>2.72</v>
      </c>
      <c r="J213" s="102"/>
      <c r="K213" s="88">
        <v>2</v>
      </c>
      <c r="L213" s="89">
        <f>I213*K213</f>
        <v>5.44</v>
      </c>
    </row>
    <row r="214" spans="2:12" ht="18">
      <c r="B214" s="85"/>
      <c r="C214" s="126"/>
      <c r="D214" s="102"/>
      <c r="E214" s="102"/>
      <c r="F214" s="102"/>
      <c r="G214" s="88"/>
      <c r="H214" s="88"/>
      <c r="I214" s="88"/>
      <c r="J214" s="102"/>
      <c r="K214" s="102"/>
      <c r="L214" s="99">
        <f>SUM(L213)</f>
        <v>5.44</v>
      </c>
    </row>
    <row r="215" spans="2:12" ht="36">
      <c r="B215" s="74" t="str">
        <f>Orçamento!B102</f>
        <v>8.00</v>
      </c>
      <c r="C215" s="75" t="str">
        <f>Orçamento!C113</f>
        <v>INSTALAÇÕES  HIDRO-SANITÁRIAS E ÁGUA PLUVIAL</v>
      </c>
      <c r="D215" s="75"/>
      <c r="E215" s="76"/>
      <c r="F215" s="77"/>
      <c r="G215" s="77"/>
      <c r="H215" s="77"/>
      <c r="I215" s="77"/>
      <c r="J215" s="77"/>
      <c r="K215" s="77"/>
      <c r="L215" s="78"/>
    </row>
    <row r="216" spans="2:12" ht="18">
      <c r="B216" s="432" t="str">
        <f>Orçamento!B156</f>
        <v>9.5.7</v>
      </c>
      <c r="C216" s="424" t="str">
        <f>Orçamento!C156</f>
        <v>Banheira de imersão em acrílico </v>
      </c>
      <c r="D216" s="433"/>
      <c r="E216" s="433"/>
      <c r="F216" s="433"/>
      <c r="G216" s="431"/>
      <c r="H216" s="431"/>
      <c r="I216" s="431"/>
      <c r="J216" s="433"/>
      <c r="K216" s="433"/>
      <c r="L216" s="427"/>
    </row>
    <row r="217" spans="2:12" ht="54">
      <c r="B217" s="291" t="str">
        <f>Orçamento!B158</f>
        <v>9.5.7.2</v>
      </c>
      <c r="C217" s="109" t="str">
        <f>Orçamento!C158</f>
        <v>alvenaria de tijolo cerâmico furado (9x19x19)cm c/argamassa mista de cal hidratada esp.=9cm (1:2:8), junta 1cm </v>
      </c>
      <c r="D217" s="82" t="s">
        <v>39</v>
      </c>
      <c r="E217" s="81"/>
      <c r="F217" s="81"/>
      <c r="G217" s="83"/>
      <c r="H217" s="83"/>
      <c r="I217" s="83"/>
      <c r="J217" s="81"/>
      <c r="K217" s="81"/>
      <c r="L217" s="84"/>
    </row>
    <row r="218" spans="2:12" ht="18">
      <c r="B218" s="85"/>
      <c r="C218" s="126"/>
      <c r="D218" s="102"/>
      <c r="E218" s="102" t="s">
        <v>700</v>
      </c>
      <c r="F218" s="143">
        <v>6.64</v>
      </c>
      <c r="G218" s="88"/>
      <c r="H218" s="88">
        <v>0.6</v>
      </c>
      <c r="I218" s="88">
        <f>F218*H218</f>
        <v>3.9839999999999995</v>
      </c>
      <c r="J218" s="102"/>
      <c r="K218" s="102"/>
      <c r="L218" s="89">
        <f>I218</f>
        <v>3.9839999999999995</v>
      </c>
    </row>
    <row r="219" spans="2:12" ht="18">
      <c r="B219" s="91"/>
      <c r="C219" s="113"/>
      <c r="D219" s="94"/>
      <c r="E219" s="94"/>
      <c r="F219" s="94"/>
      <c r="G219" s="95"/>
      <c r="H219" s="95"/>
      <c r="I219" s="95"/>
      <c r="J219" s="94"/>
      <c r="K219" s="94"/>
      <c r="L219" s="97">
        <f>SUM(L218)</f>
        <v>3.9839999999999995</v>
      </c>
    </row>
    <row r="220" spans="2:12" ht="54">
      <c r="B220" s="291" t="str">
        <f>Orçamento!B159</f>
        <v>9.5.7.3</v>
      </c>
      <c r="C220" s="109" t="str">
        <f>Orçamento!C159</f>
        <v>Chapisco traco 1:3 (cimento e areia media), espessura 0,5cm, preparo manual da argamassa</v>
      </c>
      <c r="D220" s="82" t="s">
        <v>39</v>
      </c>
      <c r="E220" s="81"/>
      <c r="F220" s="81"/>
      <c r="G220" s="83"/>
      <c r="H220" s="83"/>
      <c r="I220" s="83"/>
      <c r="J220" s="81"/>
      <c r="K220" s="81"/>
      <c r="L220" s="84"/>
    </row>
    <row r="221" spans="2:12" ht="18">
      <c r="B221" s="85"/>
      <c r="C221" s="126"/>
      <c r="D221" s="102"/>
      <c r="E221" s="102" t="s">
        <v>700</v>
      </c>
      <c r="F221" s="143">
        <v>6.64</v>
      </c>
      <c r="G221" s="88"/>
      <c r="H221" s="88">
        <v>0.6</v>
      </c>
      <c r="I221" s="88">
        <f>F221*H221</f>
        <v>3.9839999999999995</v>
      </c>
      <c r="J221" s="102"/>
      <c r="K221" s="102"/>
      <c r="L221" s="89">
        <f>I221</f>
        <v>3.9839999999999995</v>
      </c>
    </row>
    <row r="222" spans="2:12" ht="18">
      <c r="B222" s="91"/>
      <c r="C222" s="113"/>
      <c r="D222" s="94"/>
      <c r="E222" s="94"/>
      <c r="F222" s="94"/>
      <c r="G222" s="95"/>
      <c r="H222" s="95"/>
      <c r="I222" s="95"/>
      <c r="J222" s="94"/>
      <c r="K222" s="94"/>
      <c r="L222" s="97">
        <f>SUM(L221)</f>
        <v>3.9839999999999995</v>
      </c>
    </row>
    <row r="223" spans="2:12" ht="36">
      <c r="B223" s="291" t="str">
        <f>Orçamento!B160</f>
        <v>9.5.7.4</v>
      </c>
      <c r="C223" s="109" t="str">
        <f>Orçamento!C160</f>
        <v>Emboco traco 1:2:8 (cimento, cal e areia media), espessura 2,0cm, preparo mecânico</v>
      </c>
      <c r="D223" s="82" t="s">
        <v>39</v>
      </c>
      <c r="E223" s="81"/>
      <c r="F223" s="81"/>
      <c r="G223" s="83"/>
      <c r="H223" s="83"/>
      <c r="I223" s="83"/>
      <c r="J223" s="81"/>
      <c r="K223" s="81"/>
      <c r="L223" s="84"/>
    </row>
    <row r="224" spans="2:12" ht="18">
      <c r="B224" s="85"/>
      <c r="C224" s="126"/>
      <c r="D224" s="102"/>
      <c r="E224" s="102" t="s">
        <v>700</v>
      </c>
      <c r="F224" s="143">
        <v>6.64</v>
      </c>
      <c r="G224" s="88"/>
      <c r="H224" s="88">
        <v>0.6</v>
      </c>
      <c r="I224" s="88">
        <f>F224*H224</f>
        <v>3.9839999999999995</v>
      </c>
      <c r="J224" s="102"/>
      <c r="K224" s="102"/>
      <c r="L224" s="89">
        <f>I224+2.33-1.34</f>
        <v>4.974</v>
      </c>
    </row>
    <row r="225" spans="2:12" ht="18">
      <c r="B225" s="91"/>
      <c r="C225" s="113"/>
      <c r="D225" s="94"/>
      <c r="E225" s="94"/>
      <c r="F225" s="94"/>
      <c r="G225" s="95"/>
      <c r="H225" s="95"/>
      <c r="I225" s="95"/>
      <c r="J225" s="94"/>
      <c r="K225" s="94"/>
      <c r="L225" s="97">
        <f>SUM(L224)</f>
        <v>4.974</v>
      </c>
    </row>
    <row r="226" spans="2:12" ht="54">
      <c r="B226" s="291" t="str">
        <f>Orçamento!B161</f>
        <v>9.5.7.5</v>
      </c>
      <c r="C226" s="109" t="str">
        <f>Orçamento!C161</f>
        <v>Revestimento com cerâmica PEI 4, tipo A na cor branca com massa epóxi com espessura máxima de 2mm</v>
      </c>
      <c r="D226" s="82" t="s">
        <v>39</v>
      </c>
      <c r="E226" s="81"/>
      <c r="F226" s="81"/>
      <c r="G226" s="83"/>
      <c r="H226" s="83"/>
      <c r="I226" s="83"/>
      <c r="J226" s="81"/>
      <c r="K226" s="81"/>
      <c r="L226" s="84"/>
    </row>
    <row r="227" spans="2:12" ht="18">
      <c r="B227" s="85"/>
      <c r="C227" s="126"/>
      <c r="D227" s="102"/>
      <c r="E227" s="102" t="s">
        <v>700</v>
      </c>
      <c r="F227" s="143">
        <v>6.64</v>
      </c>
      <c r="G227" s="88"/>
      <c r="H227" s="88">
        <v>0.6</v>
      </c>
      <c r="I227" s="88">
        <f>F227*H227</f>
        <v>3.9839999999999995</v>
      </c>
      <c r="J227" s="102"/>
      <c r="K227" s="102"/>
      <c r="L227" s="89">
        <f>I227+2.33-1.34</f>
        <v>4.974</v>
      </c>
    </row>
    <row r="228" spans="2:12" ht="18">
      <c r="B228" s="85"/>
      <c r="C228" s="126"/>
      <c r="D228" s="102"/>
      <c r="E228" s="102"/>
      <c r="F228" s="102"/>
      <c r="G228" s="88"/>
      <c r="H228" s="88"/>
      <c r="I228" s="88"/>
      <c r="J228" s="102"/>
      <c r="K228" s="102"/>
      <c r="L228" s="99">
        <f>SUM(L227)</f>
        <v>4.974</v>
      </c>
    </row>
    <row r="229" spans="2:12" ht="18">
      <c r="B229" s="79" t="str">
        <f>Orçamento!B162</f>
        <v>9.5.7.6</v>
      </c>
      <c r="C229" s="109" t="str">
        <f>Orçamento!C162</f>
        <v>Areia p/ aterro com apiloamento manual</v>
      </c>
      <c r="D229" s="81"/>
      <c r="E229" s="81"/>
      <c r="F229" s="81"/>
      <c r="G229" s="83"/>
      <c r="H229" s="83"/>
      <c r="I229" s="83"/>
      <c r="J229" s="81"/>
      <c r="K229" s="81"/>
      <c r="L229" s="84"/>
    </row>
    <row r="230" spans="2:12" ht="18">
      <c r="B230" s="85"/>
      <c r="C230" s="126"/>
      <c r="D230" s="102"/>
      <c r="E230" s="102"/>
      <c r="F230" s="102"/>
      <c r="G230" s="88"/>
      <c r="H230" s="88">
        <v>0.6</v>
      </c>
      <c r="I230" s="88">
        <v>1</v>
      </c>
      <c r="J230" s="88">
        <f>H230*I230</f>
        <v>0.6</v>
      </c>
      <c r="K230" s="102"/>
      <c r="L230" s="89">
        <f>J230</f>
        <v>0.6</v>
      </c>
    </row>
    <row r="231" spans="2:12" ht="18">
      <c r="B231" s="85"/>
      <c r="C231" s="126"/>
      <c r="D231" s="102"/>
      <c r="E231" s="102"/>
      <c r="F231" s="102"/>
      <c r="G231" s="88"/>
      <c r="H231" s="88"/>
      <c r="I231" s="88"/>
      <c r="J231" s="102"/>
      <c r="K231" s="102"/>
      <c r="L231" s="99">
        <f>SUM(L230)</f>
        <v>0.6</v>
      </c>
    </row>
    <row r="232" spans="2:12" ht="18">
      <c r="B232" s="376" t="str">
        <f>Orçamento!B167</f>
        <v>10.00</v>
      </c>
      <c r="C232" s="75" t="str">
        <f>Orçamento!C167</f>
        <v>INSTALAÇÃO ELÉTRICA</v>
      </c>
      <c r="D232" s="75"/>
      <c r="E232" s="76"/>
      <c r="F232" s="77"/>
      <c r="G232" s="77"/>
      <c r="H232" s="77"/>
      <c r="I232" s="77"/>
      <c r="J232" s="77"/>
      <c r="K232" s="77"/>
      <c r="L232" s="78"/>
    </row>
    <row r="233" spans="2:12" ht="18">
      <c r="B233" s="423" t="str">
        <f>Orçamento!B206</f>
        <v>10.39</v>
      </c>
      <c r="C233" s="424" t="str">
        <f>Orçamento!C206</f>
        <v>Interligação com hospital</v>
      </c>
      <c r="D233" s="424"/>
      <c r="E233" s="425"/>
      <c r="F233" s="426"/>
      <c r="G233" s="426"/>
      <c r="H233" s="426"/>
      <c r="I233" s="426"/>
      <c r="J233" s="426"/>
      <c r="K233" s="426"/>
      <c r="L233" s="427"/>
    </row>
    <row r="234" spans="2:12" ht="36">
      <c r="B234" s="291" t="str">
        <f>Orçamento!B207</f>
        <v>10.39.1</v>
      </c>
      <c r="C234" s="109" t="str">
        <f>Orçamento!C207</f>
        <v>Cabo de cobre de 2,5 mm², isolamento 750 v - isolação em pvc 70°C</v>
      </c>
      <c r="D234" s="82" t="s">
        <v>34</v>
      </c>
      <c r="E234" s="81"/>
      <c r="F234" s="394"/>
      <c r="G234" s="83"/>
      <c r="H234" s="83"/>
      <c r="I234" s="83"/>
      <c r="J234" s="81"/>
      <c r="K234" s="81"/>
      <c r="L234" s="84"/>
    </row>
    <row r="235" spans="2:12" ht="18">
      <c r="B235" s="85"/>
      <c r="C235" s="126"/>
      <c r="D235" s="102"/>
      <c r="E235" s="102" t="s">
        <v>1110</v>
      </c>
      <c r="F235" s="140">
        <v>437.12</v>
      </c>
      <c r="G235" s="88"/>
      <c r="H235" s="88"/>
      <c r="I235" s="88"/>
      <c r="J235" s="102"/>
      <c r="K235" s="143"/>
      <c r="L235" s="89">
        <f>F235</f>
        <v>437.12</v>
      </c>
    </row>
    <row r="236" spans="2:12" ht="18">
      <c r="B236" s="91"/>
      <c r="C236" s="113"/>
      <c r="D236" s="94"/>
      <c r="E236" s="94"/>
      <c r="F236" s="94"/>
      <c r="G236" s="95"/>
      <c r="H236" s="95"/>
      <c r="I236" s="95"/>
      <c r="J236" s="94"/>
      <c r="K236" s="94"/>
      <c r="L236" s="97">
        <f>SUM(L235)</f>
        <v>437.12</v>
      </c>
    </row>
    <row r="237" spans="2:12" ht="36">
      <c r="B237" s="291" t="str">
        <f>Orçamento!B208</f>
        <v>10.39.2</v>
      </c>
      <c r="C237" s="109" t="str">
        <f>Orçamento!C208</f>
        <v>Eletroduto de pvc rígido roscável de 3/4´ - com acessórios</v>
      </c>
      <c r="D237" s="82" t="s">
        <v>34</v>
      </c>
      <c r="E237" s="81"/>
      <c r="F237" s="81"/>
      <c r="G237" s="83"/>
      <c r="H237" s="83"/>
      <c r="I237" s="83"/>
      <c r="J237" s="81"/>
      <c r="K237" s="81"/>
      <c r="L237" s="84"/>
    </row>
    <row r="238" spans="2:12" ht="18">
      <c r="B238" s="85"/>
      <c r="C238" s="126"/>
      <c r="D238" s="102"/>
      <c r="E238" s="102" t="s">
        <v>767</v>
      </c>
      <c r="F238" s="140">
        <f>55.18</f>
        <v>55.18</v>
      </c>
      <c r="G238" s="88"/>
      <c r="H238" s="88"/>
      <c r="I238" s="88"/>
      <c r="J238" s="102"/>
      <c r="K238" s="143"/>
      <c r="L238" s="89">
        <f>F238</f>
        <v>55.18</v>
      </c>
    </row>
    <row r="239" spans="2:12" ht="18">
      <c r="B239" s="91"/>
      <c r="C239" s="113"/>
      <c r="D239" s="94"/>
      <c r="E239" s="94"/>
      <c r="F239" s="94"/>
      <c r="G239" s="95"/>
      <c r="H239" s="95"/>
      <c r="I239" s="95"/>
      <c r="J239" s="94"/>
      <c r="K239" s="94"/>
      <c r="L239" s="97">
        <f>SUM(L238)</f>
        <v>55.18</v>
      </c>
    </row>
    <row r="240" spans="2:12" ht="18">
      <c r="B240" s="291" t="str">
        <f>Orçamento!B209</f>
        <v>10.39.3</v>
      </c>
      <c r="C240" s="109" t="str">
        <f>Orçamento!C209</f>
        <v>Interruptor paralelo 2 tecla com placa</v>
      </c>
      <c r="D240" s="82" t="s">
        <v>1</v>
      </c>
      <c r="E240" s="81"/>
      <c r="F240" s="81"/>
      <c r="G240" s="83"/>
      <c r="H240" s="83"/>
      <c r="I240" s="83"/>
      <c r="J240" s="81"/>
      <c r="K240" s="81"/>
      <c r="L240" s="84"/>
    </row>
    <row r="241" spans="2:12" ht="18">
      <c r="B241" s="85"/>
      <c r="C241" s="126"/>
      <c r="D241" s="102"/>
      <c r="E241" s="102" t="s">
        <v>767</v>
      </c>
      <c r="F241" s="140"/>
      <c r="G241" s="88"/>
      <c r="H241" s="88"/>
      <c r="I241" s="88"/>
      <c r="J241" s="102"/>
      <c r="K241" s="140">
        <v>2</v>
      </c>
      <c r="L241" s="89">
        <f>K241</f>
        <v>2</v>
      </c>
    </row>
    <row r="242" spans="2:12" ht="18">
      <c r="B242" s="91"/>
      <c r="C242" s="113"/>
      <c r="D242" s="94"/>
      <c r="E242" s="94"/>
      <c r="F242" s="94"/>
      <c r="G242" s="95"/>
      <c r="H242" s="95"/>
      <c r="I242" s="95"/>
      <c r="J242" s="94"/>
      <c r="K242" s="94"/>
      <c r="L242" s="97">
        <f>SUM(L241)</f>
        <v>2</v>
      </c>
    </row>
    <row r="243" spans="2:12" ht="18">
      <c r="B243" s="291" t="str">
        <f>Orçamento!B210</f>
        <v>10.39.4</v>
      </c>
      <c r="C243" s="109" t="str">
        <f>Orçamento!C210</f>
        <v>Interruptor simples 3 teclas com placa</v>
      </c>
      <c r="D243" s="81"/>
      <c r="E243" s="81"/>
      <c r="F243" s="81"/>
      <c r="G243" s="83"/>
      <c r="H243" s="83"/>
      <c r="I243" s="83"/>
      <c r="J243" s="81"/>
      <c r="K243" s="81"/>
      <c r="L243" s="84"/>
    </row>
    <row r="244" spans="2:12" ht="36">
      <c r="B244" s="85"/>
      <c r="C244" s="126"/>
      <c r="D244" s="102"/>
      <c r="E244" s="86" t="s">
        <v>1109</v>
      </c>
      <c r="F244" s="102"/>
      <c r="G244" s="88"/>
      <c r="H244" s="88"/>
      <c r="I244" s="88"/>
      <c r="J244" s="102"/>
      <c r="K244" s="140">
        <v>1</v>
      </c>
      <c r="L244" s="89">
        <f>K244</f>
        <v>1</v>
      </c>
    </row>
    <row r="245" spans="2:12" ht="18">
      <c r="B245" s="91"/>
      <c r="C245" s="113"/>
      <c r="D245" s="94"/>
      <c r="E245" s="94"/>
      <c r="F245" s="94"/>
      <c r="G245" s="95"/>
      <c r="H245" s="95"/>
      <c r="I245" s="95"/>
      <c r="J245" s="94"/>
      <c r="K245" s="94"/>
      <c r="L245" s="97">
        <f>SUM(L244)</f>
        <v>1</v>
      </c>
    </row>
    <row r="246" spans="2:12" ht="18">
      <c r="B246" s="293" t="str">
        <f>Orçamento!B211</f>
        <v>10.39.5</v>
      </c>
      <c r="C246" s="126" t="str">
        <f>Orçamento!C211</f>
        <v>Interruptor simples 1 tecla com placa</v>
      </c>
      <c r="D246" s="90" t="s">
        <v>1</v>
      </c>
      <c r="E246" s="102"/>
      <c r="F246" s="102"/>
      <c r="G246" s="88"/>
      <c r="H246" s="88"/>
      <c r="I246" s="88"/>
      <c r="J246" s="102"/>
      <c r="K246" s="102"/>
      <c r="L246" s="99"/>
    </row>
    <row r="247" spans="2:12" ht="18">
      <c r="B247" s="85"/>
      <c r="C247" s="126"/>
      <c r="D247" s="102"/>
      <c r="E247" s="102" t="s">
        <v>767</v>
      </c>
      <c r="F247" s="102"/>
      <c r="G247" s="88"/>
      <c r="H247" s="88"/>
      <c r="I247" s="88"/>
      <c r="J247" s="102"/>
      <c r="K247" s="140">
        <v>1</v>
      </c>
      <c r="L247" s="89">
        <f>K247</f>
        <v>1</v>
      </c>
    </row>
    <row r="248" spans="2:12" ht="18">
      <c r="B248" s="85"/>
      <c r="C248" s="126"/>
      <c r="D248" s="102"/>
      <c r="E248" s="102"/>
      <c r="F248" s="102"/>
      <c r="G248" s="88"/>
      <c r="H248" s="88"/>
      <c r="I248" s="88"/>
      <c r="J248" s="102"/>
      <c r="K248" s="94"/>
      <c r="L248" s="97">
        <f>SUM(L247)</f>
        <v>1</v>
      </c>
    </row>
    <row r="249" spans="2:12" ht="54">
      <c r="B249" s="291" t="str">
        <f>Orçamento!B212</f>
        <v>10.39.6</v>
      </c>
      <c r="C249" s="109" t="str">
        <f>Orçamento!C212</f>
        <v>Luminária de sobrepor ou pendentee com aletas parabólicas  em calha, para lâmpada fluorescente, 2 x 32w (completa)</v>
      </c>
      <c r="D249" s="82" t="s">
        <v>1</v>
      </c>
      <c r="E249" s="81"/>
      <c r="F249" s="81"/>
      <c r="G249" s="83"/>
      <c r="H249" s="83"/>
      <c r="I249" s="83"/>
      <c r="J249" s="81"/>
      <c r="K249" s="81"/>
      <c r="L249" s="84"/>
    </row>
    <row r="250" spans="2:12" ht="18">
      <c r="B250" s="85"/>
      <c r="C250" s="126"/>
      <c r="D250" s="102"/>
      <c r="E250" s="102" t="s">
        <v>767</v>
      </c>
      <c r="F250" s="140"/>
      <c r="G250" s="88"/>
      <c r="H250" s="88"/>
      <c r="I250" s="88"/>
      <c r="J250" s="102"/>
      <c r="K250" s="140">
        <v>8</v>
      </c>
      <c r="L250" s="89">
        <f>K250</f>
        <v>8</v>
      </c>
    </row>
    <row r="251" spans="2:12" ht="18">
      <c r="B251" s="91"/>
      <c r="C251" s="113"/>
      <c r="D251" s="94"/>
      <c r="E251" s="94"/>
      <c r="F251" s="94"/>
      <c r="G251" s="95"/>
      <c r="H251" s="95"/>
      <c r="I251" s="95"/>
      <c r="J251" s="94"/>
      <c r="K251" s="94"/>
      <c r="L251" s="97">
        <f>SUM(L250)</f>
        <v>8</v>
      </c>
    </row>
    <row r="252" spans="2:12" ht="18">
      <c r="B252" s="293" t="str">
        <f>Orçamento!B214</f>
        <v>10.39.8</v>
      </c>
      <c r="C252" s="126" t="str">
        <f>Orçamento!C214</f>
        <v>Tomada 2p+t, 10a 250v, completa</v>
      </c>
      <c r="D252" s="82" t="s">
        <v>1</v>
      </c>
      <c r="E252" s="102"/>
      <c r="F252" s="102"/>
      <c r="G252" s="88"/>
      <c r="H252" s="88"/>
      <c r="I252" s="88"/>
      <c r="J252" s="102"/>
      <c r="K252" s="102"/>
      <c r="L252" s="99"/>
    </row>
    <row r="253" spans="2:12" ht="18">
      <c r="B253" s="85"/>
      <c r="C253" s="126"/>
      <c r="D253" s="102"/>
      <c r="E253" s="102" t="s">
        <v>767</v>
      </c>
      <c r="F253" s="140"/>
      <c r="G253" s="88"/>
      <c r="H253" s="88"/>
      <c r="I253" s="88"/>
      <c r="J253" s="102"/>
      <c r="K253" s="140">
        <v>3</v>
      </c>
      <c r="L253" s="89">
        <f>K253</f>
        <v>3</v>
      </c>
    </row>
    <row r="254" spans="2:12" ht="18">
      <c r="B254" s="91"/>
      <c r="C254" s="113"/>
      <c r="D254" s="94"/>
      <c r="E254" s="94"/>
      <c r="F254" s="94"/>
      <c r="G254" s="95"/>
      <c r="H254" s="95"/>
      <c r="I254" s="95"/>
      <c r="J254" s="94"/>
      <c r="K254" s="94"/>
      <c r="L254" s="97">
        <f>SUM(L253)</f>
        <v>3</v>
      </c>
    </row>
    <row r="255" spans="2:12" ht="18">
      <c r="B255" s="376" t="str">
        <f>Orçamento!B223</f>
        <v>11.00</v>
      </c>
      <c r="C255" s="75" t="str">
        <f>Orçamento!C223</f>
        <v>REVESTIMENTO DE FORROS</v>
      </c>
      <c r="D255" s="75"/>
      <c r="E255" s="76"/>
      <c r="F255" s="77"/>
      <c r="G255" s="77"/>
      <c r="H255" s="77"/>
      <c r="I255" s="77"/>
      <c r="J255" s="77"/>
      <c r="K255" s="77"/>
      <c r="L255" s="78"/>
    </row>
    <row r="256" spans="2:12" ht="18">
      <c r="B256" s="423" t="str">
        <f>Orçamento!B226</f>
        <v>11.3</v>
      </c>
      <c r="C256" s="424" t="str">
        <f>Orçamento!C226</f>
        <v>Interligação com hospital</v>
      </c>
      <c r="D256" s="424"/>
      <c r="E256" s="425"/>
      <c r="F256" s="426"/>
      <c r="G256" s="426"/>
      <c r="H256" s="426"/>
      <c r="I256" s="426"/>
      <c r="J256" s="426"/>
      <c r="K256" s="426"/>
      <c r="L256" s="427"/>
    </row>
    <row r="257" spans="2:12" ht="54">
      <c r="B257" s="291" t="str">
        <f>Orçamento!B227</f>
        <v>11.3.1</v>
      </c>
      <c r="C257" s="109" t="str">
        <f>Orçamento!C227</f>
        <v>Chapisco traco 1:3 (cimento e areia media), espessura 0,5cm, preparo manual da argamassa</v>
      </c>
      <c r="D257" s="82" t="s">
        <v>39</v>
      </c>
      <c r="E257" s="81"/>
      <c r="F257" s="81"/>
      <c r="G257" s="83"/>
      <c r="H257" s="83"/>
      <c r="I257" s="83"/>
      <c r="J257" s="81"/>
      <c r="K257" s="81"/>
      <c r="L257" s="84"/>
    </row>
    <row r="258" spans="2:12" ht="18">
      <c r="B258" s="85"/>
      <c r="C258" s="126"/>
      <c r="D258" s="102"/>
      <c r="E258" s="102" t="s">
        <v>767</v>
      </c>
      <c r="F258" s="102"/>
      <c r="G258" s="88"/>
      <c r="H258" s="88"/>
      <c r="I258" s="88">
        <v>87.18</v>
      </c>
      <c r="J258" s="102"/>
      <c r="K258" s="102"/>
      <c r="L258" s="89">
        <f>I258</f>
        <v>87.18</v>
      </c>
    </row>
    <row r="259" spans="2:12" ht="18">
      <c r="B259" s="91"/>
      <c r="C259" s="113"/>
      <c r="D259" s="94"/>
      <c r="E259" s="94"/>
      <c r="F259" s="94"/>
      <c r="G259" s="95"/>
      <c r="H259" s="95"/>
      <c r="I259" s="95"/>
      <c r="J259" s="94"/>
      <c r="K259" s="94"/>
      <c r="L259" s="97">
        <f>SUM(L258)</f>
        <v>87.18</v>
      </c>
    </row>
    <row r="260" spans="2:12" ht="54">
      <c r="B260" s="291" t="str">
        <f>Orçamento!B228</f>
        <v>11.3.2</v>
      </c>
      <c r="C260" s="109" t="str">
        <f>Orçamento!C228</f>
        <v>Reboco traco 1:2:8 (cimento, cal e areia media), espessura 2,0cm, preparo manual da argamassa</v>
      </c>
      <c r="D260" s="82" t="s">
        <v>39</v>
      </c>
      <c r="E260" s="81"/>
      <c r="F260" s="81"/>
      <c r="G260" s="83"/>
      <c r="H260" s="83"/>
      <c r="I260" s="83"/>
      <c r="J260" s="81"/>
      <c r="K260" s="81"/>
      <c r="L260" s="84"/>
    </row>
    <row r="261" spans="2:12" ht="18">
      <c r="B261" s="85"/>
      <c r="C261" s="126"/>
      <c r="D261" s="102"/>
      <c r="E261" s="102" t="s">
        <v>767</v>
      </c>
      <c r="F261" s="102"/>
      <c r="G261" s="88"/>
      <c r="H261" s="88"/>
      <c r="I261" s="88">
        <v>87.18</v>
      </c>
      <c r="J261" s="102"/>
      <c r="K261" s="102"/>
      <c r="L261" s="89">
        <f>I261</f>
        <v>87.18</v>
      </c>
    </row>
    <row r="262" spans="2:12" ht="18">
      <c r="B262" s="91"/>
      <c r="C262" s="113"/>
      <c r="D262" s="94"/>
      <c r="E262" s="94"/>
      <c r="F262" s="94"/>
      <c r="G262" s="95"/>
      <c r="H262" s="95"/>
      <c r="I262" s="95"/>
      <c r="J262" s="94"/>
      <c r="K262" s="94"/>
      <c r="L262" s="97">
        <f>SUM(L261)</f>
        <v>87.18</v>
      </c>
    </row>
    <row r="263" spans="2:12" ht="21.75" customHeight="1">
      <c r="B263" s="376" t="str">
        <f>Orçamento!B229</f>
        <v>12.00</v>
      </c>
      <c r="C263" s="75" t="str">
        <f>Orçamento!C229</f>
        <v>REVESTIMENTO DE PAREDES INTERNAS</v>
      </c>
      <c r="D263" s="75"/>
      <c r="E263" s="76"/>
      <c r="F263" s="77"/>
      <c r="G263" s="77"/>
      <c r="H263" s="77"/>
      <c r="I263" s="77"/>
      <c r="J263" s="77"/>
      <c r="K263" s="77"/>
      <c r="L263" s="78"/>
    </row>
    <row r="264" spans="2:12" ht="18">
      <c r="B264" s="423" t="str">
        <f>Orçamento!B235</f>
        <v>12.6</v>
      </c>
      <c r="C264" s="424" t="str">
        <f>Orçamento!C235</f>
        <v>Interligação com hospital</v>
      </c>
      <c r="D264" s="424"/>
      <c r="E264" s="425"/>
      <c r="F264" s="426"/>
      <c r="G264" s="426"/>
      <c r="H264" s="426"/>
      <c r="I264" s="426"/>
      <c r="J264" s="426"/>
      <c r="K264" s="426"/>
      <c r="L264" s="427"/>
    </row>
    <row r="265" spans="2:12" ht="54">
      <c r="B265" s="291" t="str">
        <f>Orçamento!B236</f>
        <v>12.6.1</v>
      </c>
      <c r="C265" s="109" t="str">
        <f>Orçamento!C236</f>
        <v>Chapisco traco 1:3 (cimento e areia media), espessura 0,5cm, preparo manual da argamassa</v>
      </c>
      <c r="D265" s="82" t="s">
        <v>39</v>
      </c>
      <c r="E265" s="81"/>
      <c r="F265" s="81"/>
      <c r="G265" s="83"/>
      <c r="H265" s="83"/>
      <c r="I265" s="83"/>
      <c r="J265" s="81"/>
      <c r="K265" s="81"/>
      <c r="L265" s="84"/>
    </row>
    <row r="266" spans="2:12" ht="18">
      <c r="B266" s="293"/>
      <c r="C266" s="126"/>
      <c r="D266" s="102"/>
      <c r="E266" s="102" t="s">
        <v>767</v>
      </c>
      <c r="F266" s="88">
        <v>65.56</v>
      </c>
      <c r="G266" s="88"/>
      <c r="H266" s="88">
        <v>3</v>
      </c>
      <c r="I266" s="88">
        <f>F266*H266</f>
        <v>196.68</v>
      </c>
      <c r="J266" s="102"/>
      <c r="K266" s="102"/>
      <c r="L266" s="89">
        <f>I266</f>
        <v>196.68</v>
      </c>
    </row>
    <row r="267" spans="2:12" ht="18">
      <c r="B267" s="417"/>
      <c r="C267" s="113"/>
      <c r="D267" s="94"/>
      <c r="E267" s="94"/>
      <c r="F267" s="94"/>
      <c r="G267" s="95"/>
      <c r="H267" s="95"/>
      <c r="I267" s="95"/>
      <c r="J267" s="94"/>
      <c r="K267" s="94"/>
      <c r="L267" s="97">
        <f>SUM(L266)</f>
        <v>196.68</v>
      </c>
    </row>
    <row r="268" spans="2:12" ht="36">
      <c r="B268" s="79" t="str">
        <f>Orçamento!B237</f>
        <v>12.6.2</v>
      </c>
      <c r="C268" s="109" t="str">
        <f>Orçamento!C237</f>
        <v>Reboco traco 1:2:8 (cimento, cal e areia media), espessura 2,0cm, preparo mecânico</v>
      </c>
      <c r="D268" s="82" t="s">
        <v>39</v>
      </c>
      <c r="E268" s="81"/>
      <c r="F268" s="81"/>
      <c r="G268" s="83"/>
      <c r="H268" s="83"/>
      <c r="I268" s="83"/>
      <c r="J268" s="81"/>
      <c r="K268" s="81"/>
      <c r="L268" s="84"/>
    </row>
    <row r="269" spans="2:12" ht="18">
      <c r="B269" s="85"/>
      <c r="C269" s="126"/>
      <c r="D269" s="102"/>
      <c r="E269" s="102" t="s">
        <v>767</v>
      </c>
      <c r="F269" s="88">
        <v>65.56</v>
      </c>
      <c r="G269" s="88"/>
      <c r="H269" s="88">
        <v>3</v>
      </c>
      <c r="I269" s="88">
        <f>F269*H269</f>
        <v>196.68</v>
      </c>
      <c r="J269" s="102"/>
      <c r="K269" s="102"/>
      <c r="L269" s="89">
        <f>I269</f>
        <v>196.68</v>
      </c>
    </row>
    <row r="270" spans="2:12" ht="18">
      <c r="B270" s="85"/>
      <c r="C270" s="126"/>
      <c r="D270" s="102"/>
      <c r="E270" s="102"/>
      <c r="F270" s="102"/>
      <c r="G270" s="88"/>
      <c r="H270" s="88"/>
      <c r="I270" s="88"/>
      <c r="J270" s="102"/>
      <c r="K270" s="102"/>
      <c r="L270" s="99">
        <f>SUM(L269)</f>
        <v>196.68</v>
      </c>
    </row>
    <row r="271" spans="2:12" ht="18" customHeight="1">
      <c r="B271" s="376" t="str">
        <f>Orçamento!B238</f>
        <v>13.00</v>
      </c>
      <c r="C271" s="75" t="str">
        <f>Orçamento!C238</f>
        <v>REVESTIMENTO DE PAREDES EXTERNAS</v>
      </c>
      <c r="D271" s="75"/>
      <c r="E271" s="76"/>
      <c r="F271" s="77"/>
      <c r="G271" s="77"/>
      <c r="H271" s="77"/>
      <c r="I271" s="77"/>
      <c r="J271" s="77"/>
      <c r="K271" s="77"/>
      <c r="L271" s="78"/>
    </row>
    <row r="272" spans="2:12" ht="54">
      <c r="B272" s="291" t="str">
        <f>Orçamento!B239</f>
        <v>13.1</v>
      </c>
      <c r="C272" s="109" t="str">
        <f>Orçamento!C239</f>
        <v>Chapisco traco 1:3 (cimento e areia media), espessura 0,5cm, preparo manualda argamassa</v>
      </c>
      <c r="D272" s="82" t="s">
        <v>39</v>
      </c>
      <c r="E272" s="81"/>
      <c r="F272" s="81"/>
      <c r="G272" s="81"/>
      <c r="H272" s="81"/>
      <c r="I272" s="81"/>
      <c r="J272" s="81"/>
      <c r="K272" s="81"/>
      <c r="L272" s="127"/>
    </row>
    <row r="273" spans="2:12" ht="18">
      <c r="B273" s="85"/>
      <c r="C273" s="126"/>
      <c r="D273" s="90"/>
      <c r="E273" s="188" t="s">
        <v>525</v>
      </c>
      <c r="F273" s="88"/>
      <c r="G273" s="146"/>
      <c r="H273" s="88"/>
      <c r="I273" s="88">
        <v>434.34</v>
      </c>
      <c r="J273" s="146"/>
      <c r="K273" s="88"/>
      <c r="L273" s="89">
        <f>I273</f>
        <v>434.34</v>
      </c>
    </row>
    <row r="274" spans="2:12" ht="18">
      <c r="B274" s="85"/>
      <c r="C274" s="126"/>
      <c r="D274" s="90"/>
      <c r="E274" s="102" t="s">
        <v>526</v>
      </c>
      <c r="F274" s="88"/>
      <c r="G274" s="146"/>
      <c r="H274" s="88"/>
      <c r="I274" s="88">
        <f>8.42+8.98+8.72</f>
        <v>26.119999999999997</v>
      </c>
      <c r="J274" s="102"/>
      <c r="K274" s="88"/>
      <c r="L274" s="89">
        <f>I274</f>
        <v>26.119999999999997</v>
      </c>
    </row>
    <row r="275" spans="2:12" ht="18">
      <c r="B275" s="85"/>
      <c r="C275" s="126"/>
      <c r="D275" s="90"/>
      <c r="E275" s="102" t="s">
        <v>919</v>
      </c>
      <c r="F275" s="88"/>
      <c r="G275" s="146"/>
      <c r="H275" s="88"/>
      <c r="I275" s="88">
        <f>6.45*3</f>
        <v>19.35</v>
      </c>
      <c r="J275" s="102"/>
      <c r="K275" s="88"/>
      <c r="L275" s="89">
        <f>I275</f>
        <v>19.35</v>
      </c>
    </row>
    <row r="276" spans="2:12" ht="18">
      <c r="B276" s="91"/>
      <c r="C276" s="113"/>
      <c r="D276" s="96"/>
      <c r="E276" s="101"/>
      <c r="F276" s="94"/>
      <c r="G276" s="94"/>
      <c r="H276" s="94"/>
      <c r="I276" s="94"/>
      <c r="J276" s="94"/>
      <c r="K276" s="94"/>
      <c r="L276" s="97">
        <f>L273-L274-L275</f>
        <v>388.86999999999995</v>
      </c>
    </row>
    <row r="277" spans="2:12" ht="36">
      <c r="B277" s="293" t="str">
        <f>Orçamento!B240</f>
        <v>13.2</v>
      </c>
      <c r="C277" s="126" t="str">
        <f>Orçamento!C240</f>
        <v>Reboco traco 1:2:8 (cimento, cal e areia media), espessura 2,0cm, preparo mecânico</v>
      </c>
      <c r="D277" s="90" t="s">
        <v>39</v>
      </c>
      <c r="E277" s="102"/>
      <c r="F277" s="102"/>
      <c r="G277" s="102"/>
      <c r="H277" s="102"/>
      <c r="I277" s="102"/>
      <c r="J277" s="102"/>
      <c r="K277" s="102"/>
      <c r="L277" s="128"/>
    </row>
    <row r="278" spans="2:12" ht="18">
      <c r="B278" s="85"/>
      <c r="C278" s="126"/>
      <c r="D278" s="90"/>
      <c r="E278" s="188" t="s">
        <v>697</v>
      </c>
      <c r="F278" s="88"/>
      <c r="G278" s="146"/>
      <c r="H278" s="88"/>
      <c r="I278" s="88">
        <v>434.34</v>
      </c>
      <c r="J278" s="146"/>
      <c r="K278" s="88"/>
      <c r="L278" s="89">
        <f>I278</f>
        <v>434.34</v>
      </c>
    </row>
    <row r="279" spans="2:12" ht="18">
      <c r="B279" s="85"/>
      <c r="C279" s="126"/>
      <c r="D279" s="90"/>
      <c r="E279" s="102" t="s">
        <v>698</v>
      </c>
      <c r="F279" s="88"/>
      <c r="G279" s="146"/>
      <c r="H279" s="88"/>
      <c r="I279" s="88">
        <f>8.42+8.98+8.72</f>
        <v>26.119999999999997</v>
      </c>
      <c r="J279" s="102"/>
      <c r="K279" s="88"/>
      <c r="L279" s="89">
        <f>I279</f>
        <v>26.119999999999997</v>
      </c>
    </row>
    <row r="280" spans="2:12" ht="18">
      <c r="B280" s="85"/>
      <c r="C280" s="126"/>
      <c r="D280" s="90"/>
      <c r="E280" s="102" t="s">
        <v>919</v>
      </c>
      <c r="F280" s="88"/>
      <c r="G280" s="146"/>
      <c r="H280" s="88"/>
      <c r="I280" s="88">
        <f>6.45*3</f>
        <v>19.35</v>
      </c>
      <c r="J280" s="102"/>
      <c r="K280" s="88"/>
      <c r="L280" s="89">
        <f>I280</f>
        <v>19.35</v>
      </c>
    </row>
    <row r="281" spans="2:12" ht="18">
      <c r="B281" s="85"/>
      <c r="C281" s="126"/>
      <c r="D281" s="90"/>
      <c r="E281" s="101"/>
      <c r="F281" s="94"/>
      <c r="G281" s="94"/>
      <c r="H281" s="94"/>
      <c r="I281" s="94"/>
      <c r="J281" s="94"/>
      <c r="K281" s="94"/>
      <c r="L281" s="97">
        <f>L278-L279-L280</f>
        <v>388.86999999999995</v>
      </c>
    </row>
    <row r="282" spans="2:12" ht="36">
      <c r="B282" s="291" t="str">
        <f>Orçamento!B241</f>
        <v>13.3</v>
      </c>
      <c r="C282" s="109" t="str">
        <f>Orçamento!C241</f>
        <v>Emboco traco 1:2:8 (cimento, cal e areia media), espessura 1,5cm, preparo mecânico</v>
      </c>
      <c r="D282" s="82" t="s">
        <v>39</v>
      </c>
      <c r="E282" s="416"/>
      <c r="F282" s="83"/>
      <c r="G282" s="83"/>
      <c r="H282" s="83"/>
      <c r="I282" s="83"/>
      <c r="J282" s="83"/>
      <c r="K282" s="83"/>
      <c r="L282" s="84"/>
    </row>
    <row r="283" spans="2:12" ht="18">
      <c r="B283" s="293"/>
      <c r="C283" s="126"/>
      <c r="D283" s="90"/>
      <c r="E283" s="129" t="s">
        <v>696</v>
      </c>
      <c r="F283" s="143">
        <v>3.45</v>
      </c>
      <c r="G283" s="143"/>
      <c r="H283" s="143">
        <v>5.91</v>
      </c>
      <c r="I283" s="140">
        <f>F283*H283</f>
        <v>20.3895</v>
      </c>
      <c r="J283" s="102"/>
      <c r="K283" s="102"/>
      <c r="L283" s="89">
        <f>I283</f>
        <v>20.3895</v>
      </c>
    </row>
    <row r="284" spans="2:12" ht="18">
      <c r="B284" s="293"/>
      <c r="C284" s="126"/>
      <c r="D284" s="90"/>
      <c r="E284" s="98" t="s">
        <v>602</v>
      </c>
      <c r="F284" s="143">
        <v>7.2</v>
      </c>
      <c r="G284" s="102"/>
      <c r="H284" s="140">
        <v>5.265</v>
      </c>
      <c r="I284" s="140">
        <f>F284*H284</f>
        <v>37.908</v>
      </c>
      <c r="J284" s="102"/>
      <c r="K284" s="102"/>
      <c r="L284" s="89">
        <f>I284-0.4</f>
        <v>37.508</v>
      </c>
    </row>
    <row r="285" spans="2:12" ht="18">
      <c r="B285" s="293"/>
      <c r="C285" s="126"/>
      <c r="D285" s="90"/>
      <c r="E285" s="98" t="s">
        <v>693</v>
      </c>
      <c r="F285" s="143">
        <f>2.4</f>
        <v>2.4</v>
      </c>
      <c r="G285" s="102"/>
      <c r="H285" s="140">
        <v>2.67</v>
      </c>
      <c r="I285" s="140">
        <f>F285*H285</f>
        <v>6.4079999999999995</v>
      </c>
      <c r="J285" s="102"/>
      <c r="K285" s="102"/>
      <c r="L285" s="89">
        <f>I285</f>
        <v>6.4079999999999995</v>
      </c>
    </row>
    <row r="286" spans="2:12" ht="18">
      <c r="B286" s="417"/>
      <c r="C286" s="113"/>
      <c r="D286" s="96"/>
      <c r="E286" s="382"/>
      <c r="F286" s="95"/>
      <c r="G286" s="95"/>
      <c r="H286" s="95"/>
      <c r="I286" s="95"/>
      <c r="J286" s="95"/>
      <c r="K286" s="95"/>
      <c r="L286" s="97">
        <f>SUM(L283:L285)</f>
        <v>64.30550000000001</v>
      </c>
    </row>
    <row r="287" spans="2:12" ht="36">
      <c r="B287" s="291" t="str">
        <f>Orçamento!B242</f>
        <v>13.4</v>
      </c>
      <c r="C287" s="109" t="str">
        <f>Orçamento!C242</f>
        <v>Argento Line, natural retificado, similar linha concretyssimo</v>
      </c>
      <c r="D287" s="82" t="s">
        <v>39</v>
      </c>
      <c r="E287" s="100"/>
      <c r="F287" s="81"/>
      <c r="G287" s="81"/>
      <c r="H287" s="81"/>
      <c r="I287" s="81"/>
      <c r="J287" s="81"/>
      <c r="K287" s="81"/>
      <c r="L287" s="84"/>
    </row>
    <row r="288" spans="2:12" ht="18">
      <c r="B288" s="85"/>
      <c r="C288" s="126"/>
      <c r="D288" s="90"/>
      <c r="E288" s="98" t="s">
        <v>601</v>
      </c>
      <c r="F288" s="143">
        <v>3.45</v>
      </c>
      <c r="G288" s="143"/>
      <c r="H288" s="143">
        <v>5.91</v>
      </c>
      <c r="I288" s="140">
        <f>F288*H288</f>
        <v>20.3895</v>
      </c>
      <c r="J288" s="102"/>
      <c r="K288" s="102"/>
      <c r="L288" s="89">
        <f>I288</f>
        <v>20.3895</v>
      </c>
    </row>
    <row r="289" spans="2:12" ht="18">
      <c r="B289" s="91"/>
      <c r="C289" s="113"/>
      <c r="D289" s="96"/>
      <c r="E289" s="101"/>
      <c r="F289" s="94"/>
      <c r="G289" s="94"/>
      <c r="H289" s="94"/>
      <c r="I289" s="94"/>
      <c r="J289" s="94"/>
      <c r="K289" s="94"/>
      <c r="L289" s="97">
        <f>SUM(L288:L288)</f>
        <v>20.3895</v>
      </c>
    </row>
    <row r="290" spans="2:12" ht="54">
      <c r="B290" s="293" t="str">
        <f>Orçamento!B243</f>
        <v>13.5</v>
      </c>
      <c r="C290" s="126" t="str">
        <f>Orçamento!C243</f>
        <v>Cerâmica tipo madeira, canela de demolição 20x120cm, natural retificado, similar a portobello</v>
      </c>
      <c r="D290" s="90" t="s">
        <v>39</v>
      </c>
      <c r="E290" s="98"/>
      <c r="F290" s="102"/>
      <c r="G290" s="102"/>
      <c r="H290" s="102"/>
      <c r="I290" s="102"/>
      <c r="J290" s="102"/>
      <c r="K290" s="102"/>
      <c r="L290" s="99"/>
    </row>
    <row r="291" spans="2:12" ht="18">
      <c r="B291" s="85"/>
      <c r="C291" s="126"/>
      <c r="D291" s="90"/>
      <c r="E291" s="98" t="s">
        <v>602</v>
      </c>
      <c r="F291" s="143">
        <v>7.2</v>
      </c>
      <c r="G291" s="102"/>
      <c r="H291" s="140">
        <v>5.265</v>
      </c>
      <c r="I291" s="140">
        <f>F291*H291</f>
        <v>37.908</v>
      </c>
      <c r="J291" s="102"/>
      <c r="K291" s="102"/>
      <c r="L291" s="89">
        <f>I291-0.4</f>
        <v>37.508</v>
      </c>
    </row>
    <row r="292" spans="2:12" ht="18">
      <c r="B292" s="85"/>
      <c r="C292" s="126"/>
      <c r="D292" s="90"/>
      <c r="E292" s="98" t="s">
        <v>693</v>
      </c>
      <c r="F292" s="143">
        <f>2.4</f>
        <v>2.4</v>
      </c>
      <c r="G292" s="102"/>
      <c r="H292" s="140">
        <v>2.67</v>
      </c>
      <c r="I292" s="140">
        <f>F292*H292</f>
        <v>6.4079999999999995</v>
      </c>
      <c r="J292" s="102"/>
      <c r="K292" s="102"/>
      <c r="L292" s="89">
        <f>I292-0.79*7</f>
        <v>0.8779999999999992</v>
      </c>
    </row>
    <row r="293" spans="2:12" ht="18">
      <c r="B293" s="85"/>
      <c r="C293" s="126"/>
      <c r="D293" s="90"/>
      <c r="E293" s="98"/>
      <c r="F293" s="102"/>
      <c r="G293" s="102"/>
      <c r="H293" s="102"/>
      <c r="I293" s="102"/>
      <c r="J293" s="102"/>
      <c r="K293" s="102"/>
      <c r="L293" s="99">
        <f>SUM(L291:L292)</f>
        <v>38.386</v>
      </c>
    </row>
    <row r="294" spans="2:12" ht="18">
      <c r="B294" s="291" t="str">
        <f>Orçamento!B244</f>
        <v>13.6</v>
      </c>
      <c r="C294" s="109" t="str">
        <f>Orçamento!C244</f>
        <v>Peitoril em granito l=15cm</v>
      </c>
      <c r="D294" s="82" t="s">
        <v>34</v>
      </c>
      <c r="E294" s="100"/>
      <c r="F294" s="81"/>
      <c r="G294" s="81"/>
      <c r="H294" s="81"/>
      <c r="I294" s="81"/>
      <c r="J294" s="81"/>
      <c r="K294" s="81"/>
      <c r="L294" s="84"/>
    </row>
    <row r="295" spans="2:12" ht="18">
      <c r="B295" s="85"/>
      <c r="C295" s="126"/>
      <c r="D295" s="90"/>
      <c r="E295" s="126" t="s">
        <v>1065</v>
      </c>
      <c r="F295" s="131"/>
      <c r="G295" s="140">
        <v>1.2</v>
      </c>
      <c r="H295" s="102"/>
      <c r="I295" s="102"/>
      <c r="J295" s="102"/>
      <c r="K295" s="140">
        <v>1</v>
      </c>
      <c r="L295" s="142">
        <f>G295*K295</f>
        <v>1.2</v>
      </c>
    </row>
    <row r="296" spans="2:12" ht="18">
      <c r="B296" s="85"/>
      <c r="C296" s="126"/>
      <c r="D296" s="90"/>
      <c r="E296" s="126" t="s">
        <v>1066</v>
      </c>
      <c r="F296" s="131"/>
      <c r="G296" s="140">
        <v>1.5</v>
      </c>
      <c r="H296" s="102"/>
      <c r="I296" s="102"/>
      <c r="J296" s="102"/>
      <c r="K296" s="140">
        <v>1</v>
      </c>
      <c r="L296" s="142">
        <f aca="true" t="shared" si="1" ref="L296:L303">G296*K296</f>
        <v>1.5</v>
      </c>
    </row>
    <row r="297" spans="2:12" ht="18">
      <c r="B297" s="85"/>
      <c r="C297" s="126"/>
      <c r="D297" s="90"/>
      <c r="E297" s="126" t="s">
        <v>1067</v>
      </c>
      <c r="F297" s="131"/>
      <c r="G297" s="140">
        <v>1.5</v>
      </c>
      <c r="H297" s="102"/>
      <c r="I297" s="102"/>
      <c r="J297" s="102"/>
      <c r="K297" s="140">
        <v>1</v>
      </c>
      <c r="L297" s="142">
        <f t="shared" si="1"/>
        <v>1.5</v>
      </c>
    </row>
    <row r="298" spans="2:12" ht="18">
      <c r="B298" s="85"/>
      <c r="C298" s="126"/>
      <c r="D298" s="90"/>
      <c r="E298" s="126" t="s">
        <v>1069</v>
      </c>
      <c r="F298" s="131"/>
      <c r="G298" s="140">
        <v>2</v>
      </c>
      <c r="H298" s="102"/>
      <c r="I298" s="102"/>
      <c r="J298" s="102"/>
      <c r="K298" s="140">
        <v>1</v>
      </c>
      <c r="L298" s="142">
        <f t="shared" si="1"/>
        <v>2</v>
      </c>
    </row>
    <row r="299" spans="2:12" ht="18">
      <c r="B299" s="85"/>
      <c r="C299" s="126"/>
      <c r="D299" s="90"/>
      <c r="E299" s="126" t="s">
        <v>1068</v>
      </c>
      <c r="F299" s="131"/>
      <c r="G299" s="140">
        <v>0.8</v>
      </c>
      <c r="H299" s="140"/>
      <c r="I299" s="140"/>
      <c r="J299" s="131"/>
      <c r="K299" s="140">
        <v>1</v>
      </c>
      <c r="L299" s="142">
        <f t="shared" si="1"/>
        <v>0.8</v>
      </c>
    </row>
    <row r="300" spans="2:12" ht="18">
      <c r="B300" s="85"/>
      <c r="C300" s="126"/>
      <c r="D300" s="90"/>
      <c r="E300" s="126" t="s">
        <v>1070</v>
      </c>
      <c r="F300" s="131"/>
      <c r="G300" s="140">
        <v>0.9</v>
      </c>
      <c r="H300" s="140"/>
      <c r="I300" s="140"/>
      <c r="J300" s="131"/>
      <c r="K300" s="140">
        <v>3</v>
      </c>
      <c r="L300" s="142">
        <f t="shared" si="1"/>
        <v>2.7</v>
      </c>
    </row>
    <row r="301" spans="2:12" ht="18">
      <c r="B301" s="85"/>
      <c r="C301" s="126"/>
      <c r="D301" s="90"/>
      <c r="E301" s="126" t="s">
        <v>1071</v>
      </c>
      <c r="F301" s="131"/>
      <c r="G301" s="140">
        <v>1</v>
      </c>
      <c r="H301" s="140"/>
      <c r="I301" s="140"/>
      <c r="J301" s="131"/>
      <c r="K301" s="140">
        <v>5</v>
      </c>
      <c r="L301" s="142">
        <f t="shared" si="1"/>
        <v>5</v>
      </c>
    </row>
    <row r="302" spans="2:12" ht="18">
      <c r="B302" s="85"/>
      <c r="C302" s="126"/>
      <c r="D302" s="90"/>
      <c r="E302" s="126" t="s">
        <v>1072</v>
      </c>
      <c r="F302" s="131"/>
      <c r="G302" s="140">
        <v>2.9</v>
      </c>
      <c r="H302" s="102"/>
      <c r="I302" s="102"/>
      <c r="J302" s="102"/>
      <c r="K302" s="140">
        <v>1</v>
      </c>
      <c r="L302" s="142">
        <f t="shared" si="1"/>
        <v>2.9</v>
      </c>
    </row>
    <row r="303" spans="2:12" ht="18">
      <c r="B303" s="85"/>
      <c r="C303" s="126"/>
      <c r="D303" s="90"/>
      <c r="E303" s="126" t="s">
        <v>1073</v>
      </c>
      <c r="F303" s="131"/>
      <c r="G303" s="140">
        <v>1.1</v>
      </c>
      <c r="H303" s="102"/>
      <c r="I303" s="102"/>
      <c r="J303" s="102"/>
      <c r="K303" s="140">
        <v>1</v>
      </c>
      <c r="L303" s="142">
        <f t="shared" si="1"/>
        <v>1.1</v>
      </c>
    </row>
    <row r="304" spans="2:12" ht="18">
      <c r="B304" s="85"/>
      <c r="C304" s="126"/>
      <c r="D304" s="90"/>
      <c r="E304" s="98"/>
      <c r="F304" s="102"/>
      <c r="G304" s="102"/>
      <c r="H304" s="102"/>
      <c r="I304" s="102"/>
      <c r="J304" s="102"/>
      <c r="K304" s="102"/>
      <c r="L304" s="99">
        <f>SUM(L295:L303)</f>
        <v>18.7</v>
      </c>
    </row>
    <row r="305" spans="2:12" ht="18">
      <c r="B305" s="418" t="str">
        <f>Orçamento!B245</f>
        <v>13.7</v>
      </c>
      <c r="C305" s="419" t="str">
        <f>Orçamento!C245</f>
        <v>Platibanda</v>
      </c>
      <c r="D305" s="420" t="s">
        <v>39</v>
      </c>
      <c r="E305" s="421"/>
      <c r="F305" s="421"/>
      <c r="G305" s="421"/>
      <c r="H305" s="421"/>
      <c r="I305" s="421"/>
      <c r="J305" s="421"/>
      <c r="K305" s="421"/>
      <c r="L305" s="422"/>
    </row>
    <row r="306" spans="2:12" ht="54">
      <c r="B306" s="291" t="str">
        <f>Orçamento!B246</f>
        <v>13.7.1</v>
      </c>
      <c r="C306" s="109" t="str">
        <f>Orçamento!C246</f>
        <v>Chapisco traco 1:3 (cimento e areia media), espessura 0,5cm, preparo manualda argamassa</v>
      </c>
      <c r="D306" s="82" t="s">
        <v>39</v>
      </c>
      <c r="E306" s="383"/>
      <c r="F306" s="149"/>
      <c r="G306" s="81"/>
      <c r="H306" s="149"/>
      <c r="I306" s="149"/>
      <c r="J306" s="81"/>
      <c r="K306" s="83"/>
      <c r="L306" s="381"/>
    </row>
    <row r="307" spans="2:12" ht="18">
      <c r="B307" s="85"/>
      <c r="C307" s="126"/>
      <c r="D307" s="90"/>
      <c r="E307" s="98" t="s">
        <v>516</v>
      </c>
      <c r="F307" s="88">
        <v>65.9</v>
      </c>
      <c r="G307" s="88"/>
      <c r="H307" s="88">
        <v>1.7</v>
      </c>
      <c r="I307" s="88">
        <f>F307*H307</f>
        <v>112.03</v>
      </c>
      <c r="J307" s="88"/>
      <c r="K307" s="88"/>
      <c r="L307" s="89">
        <f>I307</f>
        <v>112.03</v>
      </c>
    </row>
    <row r="308" spans="2:12" ht="18">
      <c r="B308" s="85"/>
      <c r="C308" s="126"/>
      <c r="D308" s="90"/>
      <c r="E308" s="129" t="s">
        <v>520</v>
      </c>
      <c r="F308" s="88">
        <v>2.075</v>
      </c>
      <c r="G308" s="88"/>
      <c r="H308" s="88">
        <v>2.17</v>
      </c>
      <c r="I308" s="88">
        <f>F308*H308</f>
        <v>4.50275</v>
      </c>
      <c r="J308" s="88"/>
      <c r="K308" s="88">
        <v>2</v>
      </c>
      <c r="L308" s="89">
        <f>I308*K308</f>
        <v>9.0055</v>
      </c>
    </row>
    <row r="309" spans="2:12" ht="18">
      <c r="B309" s="85"/>
      <c r="C309" s="126"/>
      <c r="D309" s="90"/>
      <c r="E309" s="129"/>
      <c r="F309" s="88"/>
      <c r="G309" s="88"/>
      <c r="H309" s="88"/>
      <c r="I309" s="88"/>
      <c r="J309" s="88"/>
      <c r="K309" s="88"/>
      <c r="L309" s="99">
        <f>SUM(L307:L308)</f>
        <v>121.0355</v>
      </c>
    </row>
    <row r="310" spans="2:12" ht="36">
      <c r="B310" s="291" t="str">
        <f>Orçamento!B247</f>
        <v>13.7.2</v>
      </c>
      <c r="C310" s="109" t="str">
        <f>Orçamento!C247</f>
        <v>Reboco traco 1:2:8 (cimento, cal e areia media), espessura 2,0cm, preparo mecânico</v>
      </c>
      <c r="D310" s="82" t="s">
        <v>39</v>
      </c>
      <c r="E310" s="100"/>
      <c r="F310" s="83"/>
      <c r="G310" s="83"/>
      <c r="H310" s="83"/>
      <c r="I310" s="83"/>
      <c r="J310" s="83"/>
      <c r="K310" s="82"/>
      <c r="L310" s="84"/>
    </row>
    <row r="311" spans="2:12" ht="18">
      <c r="B311" s="85"/>
      <c r="C311" s="126"/>
      <c r="D311" s="90"/>
      <c r="E311" s="98" t="s">
        <v>516</v>
      </c>
      <c r="F311" s="88">
        <v>65.9</v>
      </c>
      <c r="G311" s="88"/>
      <c r="H311" s="88">
        <v>1.7</v>
      </c>
      <c r="I311" s="88">
        <f>F311*H311</f>
        <v>112.03</v>
      </c>
      <c r="J311" s="88"/>
      <c r="K311" s="88"/>
      <c r="L311" s="89">
        <f>I311</f>
        <v>112.03</v>
      </c>
    </row>
    <row r="312" spans="2:12" ht="18">
      <c r="B312" s="85"/>
      <c r="C312" s="126"/>
      <c r="D312" s="90"/>
      <c r="E312" s="129" t="s">
        <v>520</v>
      </c>
      <c r="F312" s="88">
        <v>2.075</v>
      </c>
      <c r="G312" s="88"/>
      <c r="H312" s="88">
        <v>2.17</v>
      </c>
      <c r="I312" s="88">
        <f>F312*H312</f>
        <v>4.50275</v>
      </c>
      <c r="J312" s="88"/>
      <c r="K312" s="88">
        <v>2</v>
      </c>
      <c r="L312" s="89">
        <f>I312*K312</f>
        <v>9.0055</v>
      </c>
    </row>
    <row r="313" spans="2:12" ht="18">
      <c r="B313" s="91"/>
      <c r="C313" s="126"/>
      <c r="D313" s="90"/>
      <c r="E313" s="129"/>
      <c r="F313" s="88"/>
      <c r="G313" s="88"/>
      <c r="H313" s="88"/>
      <c r="I313" s="88"/>
      <c r="J313" s="88"/>
      <c r="K313" s="88"/>
      <c r="L313" s="99">
        <f>SUM(L311:L312)</f>
        <v>121.0355</v>
      </c>
    </row>
    <row r="314" spans="2:12" ht="18">
      <c r="B314" s="418" t="str">
        <f>Orçamento!B248</f>
        <v>13.8</v>
      </c>
      <c r="C314" s="419" t="str">
        <f>Orçamento!C248</f>
        <v>Interligação com hospital e muro</v>
      </c>
      <c r="D314" s="420"/>
      <c r="E314" s="421"/>
      <c r="F314" s="421"/>
      <c r="G314" s="421"/>
      <c r="H314" s="421"/>
      <c r="I314" s="421"/>
      <c r="J314" s="421"/>
      <c r="K314" s="421"/>
      <c r="L314" s="422"/>
    </row>
    <row r="315" spans="2:12" ht="54">
      <c r="B315" s="291" t="str">
        <f>Orçamento!B249</f>
        <v>13.8.1</v>
      </c>
      <c r="C315" s="109" t="str">
        <f>Orçamento!C249</f>
        <v>Chapisco traco 1:3 (cimento e areia media), espessura 0,5cm, preparo manualda argamassa</v>
      </c>
      <c r="D315" s="82" t="s">
        <v>39</v>
      </c>
      <c r="E315" s="416"/>
      <c r="F315" s="83"/>
      <c r="G315" s="83"/>
      <c r="H315" s="83"/>
      <c r="I315" s="83"/>
      <c r="J315" s="83"/>
      <c r="K315" s="83"/>
      <c r="L315" s="84"/>
    </row>
    <row r="316" spans="2:12" ht="18">
      <c r="B316" s="293"/>
      <c r="C316" s="126"/>
      <c r="D316" s="90"/>
      <c r="E316" s="129" t="s">
        <v>767</v>
      </c>
      <c r="F316" s="88">
        <v>43.69</v>
      </c>
      <c r="G316" s="88"/>
      <c r="H316" s="88">
        <v>4.04</v>
      </c>
      <c r="I316" s="88">
        <f>F316*H316</f>
        <v>176.5076</v>
      </c>
      <c r="J316" s="88"/>
      <c r="K316" s="88"/>
      <c r="L316" s="89">
        <f>I316</f>
        <v>176.5076</v>
      </c>
    </row>
    <row r="317" spans="2:12" ht="18">
      <c r="B317" s="293"/>
      <c r="C317" s="126"/>
      <c r="D317" s="90"/>
      <c r="E317" s="129" t="s">
        <v>764</v>
      </c>
      <c r="F317" s="88">
        <v>7.84</v>
      </c>
      <c r="G317" s="88"/>
      <c r="H317" s="88">
        <v>3</v>
      </c>
      <c r="I317" s="88">
        <f>F317*H317</f>
        <v>23.52</v>
      </c>
      <c r="J317" s="88"/>
      <c r="K317" s="88">
        <v>2</v>
      </c>
      <c r="L317" s="89">
        <f>I317*K317</f>
        <v>47.04</v>
      </c>
    </row>
    <row r="318" spans="2:12" ht="18">
      <c r="B318" s="91"/>
      <c r="C318" s="113"/>
      <c r="D318" s="96"/>
      <c r="E318" s="382"/>
      <c r="F318" s="95"/>
      <c r="G318" s="95"/>
      <c r="H318" s="95"/>
      <c r="I318" s="95"/>
      <c r="J318" s="95"/>
      <c r="K318" s="95"/>
      <c r="L318" s="97">
        <f>SUM(L316:L317)</f>
        <v>223.5476</v>
      </c>
    </row>
    <row r="319" spans="2:12" ht="36">
      <c r="B319" s="293" t="str">
        <f>Orçamento!B250</f>
        <v>13.8.2</v>
      </c>
      <c r="C319" s="126" t="str">
        <f>Orçamento!C250</f>
        <v>Reboco traco 1:2:8 (cimento, cal e areia media), espessura 2,0cm, preparo mecânico</v>
      </c>
      <c r="D319" s="90" t="s">
        <v>39</v>
      </c>
      <c r="E319" s="129"/>
      <c r="F319" s="88"/>
      <c r="G319" s="88"/>
      <c r="H319" s="88"/>
      <c r="I319" s="88"/>
      <c r="J319" s="88"/>
      <c r="K319" s="88"/>
      <c r="L319" s="99"/>
    </row>
    <row r="320" spans="2:12" ht="18">
      <c r="B320" s="85"/>
      <c r="C320" s="126"/>
      <c r="D320" s="90"/>
      <c r="E320" s="129" t="s">
        <v>767</v>
      </c>
      <c r="F320" s="88">
        <v>59.06</v>
      </c>
      <c r="G320" s="88"/>
      <c r="H320" s="88">
        <v>4.16</v>
      </c>
      <c r="I320" s="88">
        <f>F320*H320</f>
        <v>245.6896</v>
      </c>
      <c r="J320" s="88"/>
      <c r="K320" s="88"/>
      <c r="L320" s="89">
        <f>I320</f>
        <v>245.6896</v>
      </c>
    </row>
    <row r="321" spans="2:12" ht="36">
      <c r="B321" s="85"/>
      <c r="C321" s="126"/>
      <c r="D321" s="90"/>
      <c r="E321" s="188" t="s">
        <v>1111</v>
      </c>
      <c r="F321" s="88">
        <v>6</v>
      </c>
      <c r="G321" s="88"/>
      <c r="H321" s="88">
        <v>1.04</v>
      </c>
      <c r="I321" s="88">
        <f>F321*H321</f>
        <v>6.24</v>
      </c>
      <c r="J321" s="88"/>
      <c r="K321" s="88"/>
      <c r="L321" s="89">
        <f>I321</f>
        <v>6.24</v>
      </c>
    </row>
    <row r="322" spans="2:12" ht="18">
      <c r="B322" s="85"/>
      <c r="C322" s="126"/>
      <c r="D322" s="90"/>
      <c r="E322" s="129" t="s">
        <v>764</v>
      </c>
      <c r="F322" s="88">
        <v>11.61</v>
      </c>
      <c r="G322" s="88"/>
      <c r="H322" s="88">
        <v>2.67</v>
      </c>
      <c r="I322" s="88">
        <f>F322*H322</f>
        <v>30.998699999999996</v>
      </c>
      <c r="J322" s="88"/>
      <c r="K322" s="88">
        <v>2</v>
      </c>
      <c r="L322" s="89">
        <f>I322*K322</f>
        <v>61.99739999999999</v>
      </c>
    </row>
    <row r="323" spans="2:12" ht="18">
      <c r="B323" s="85"/>
      <c r="C323" s="126"/>
      <c r="D323" s="90"/>
      <c r="E323" s="129"/>
      <c r="F323" s="88"/>
      <c r="G323" s="88"/>
      <c r="H323" s="88"/>
      <c r="I323" s="88"/>
      <c r="J323" s="88"/>
      <c r="K323" s="88"/>
      <c r="L323" s="99">
        <f>SUM(L320:L322)</f>
        <v>313.927</v>
      </c>
    </row>
    <row r="324" spans="2:12" ht="18">
      <c r="B324" s="291" t="str">
        <f>Orçamento!B251</f>
        <v>13.8.3</v>
      </c>
      <c r="C324" s="109" t="str">
        <f>Orçamento!C251</f>
        <v>Peitoril em granito l=15cm</v>
      </c>
      <c r="D324" s="82" t="s">
        <v>39</v>
      </c>
      <c r="E324" s="416"/>
      <c r="F324" s="83"/>
      <c r="G324" s="83"/>
      <c r="H324" s="83"/>
      <c r="I324" s="83"/>
      <c r="J324" s="83"/>
      <c r="K324" s="83"/>
      <c r="L324" s="84"/>
    </row>
    <row r="325" spans="2:12" ht="18">
      <c r="B325" s="85"/>
      <c r="C325" s="126"/>
      <c r="D325" s="90"/>
      <c r="E325" s="102" t="s">
        <v>767</v>
      </c>
      <c r="F325" s="102"/>
      <c r="G325" s="140">
        <v>1.35</v>
      </c>
      <c r="H325" s="88"/>
      <c r="I325" s="140"/>
      <c r="J325" s="102"/>
      <c r="K325" s="140">
        <v>14</v>
      </c>
      <c r="L325" s="89">
        <f>G325*K325</f>
        <v>18.900000000000002</v>
      </c>
    </row>
    <row r="326" spans="2:12" ht="18">
      <c r="B326" s="85"/>
      <c r="C326" s="126"/>
      <c r="D326" s="90"/>
      <c r="E326" s="102"/>
      <c r="F326" s="102"/>
      <c r="G326" s="140"/>
      <c r="H326" s="88"/>
      <c r="I326" s="140"/>
      <c r="J326" s="102"/>
      <c r="K326" s="140"/>
      <c r="L326" s="99">
        <f>SUM(L325)</f>
        <v>18.900000000000002</v>
      </c>
    </row>
    <row r="327" spans="2:12" ht="18">
      <c r="B327" s="376" t="str">
        <f>Orçamento!B252</f>
        <v>14.00</v>
      </c>
      <c r="C327" s="75" t="str">
        <f>Orçamento!C252</f>
        <v>PAVIMENTAÇÃO</v>
      </c>
      <c r="D327" s="75"/>
      <c r="E327" s="76"/>
      <c r="F327" s="77"/>
      <c r="G327" s="77"/>
      <c r="H327" s="77"/>
      <c r="I327" s="77"/>
      <c r="J327" s="77"/>
      <c r="K327" s="77"/>
      <c r="L327" s="78"/>
    </row>
    <row r="328" spans="2:12" ht="54">
      <c r="B328" s="291" t="str">
        <f>Orçamento!B253</f>
        <v>14.1</v>
      </c>
      <c r="C328" s="109" t="str">
        <f>Orçamento!C253</f>
        <v>Contrapiso em argamassa traco 1:4 (cimento e areia), espessura 7cm, preparo manual</v>
      </c>
      <c r="D328" s="82" t="s">
        <v>39</v>
      </c>
      <c r="E328" s="416"/>
      <c r="F328" s="83"/>
      <c r="G328" s="83"/>
      <c r="H328" s="83"/>
      <c r="I328" s="83"/>
      <c r="J328" s="83"/>
      <c r="K328" s="83"/>
      <c r="L328" s="84"/>
    </row>
    <row r="329" spans="2:12" ht="18">
      <c r="B329" s="293"/>
      <c r="C329" s="126"/>
      <c r="D329" s="90"/>
      <c r="E329" s="593" t="s">
        <v>62</v>
      </c>
      <c r="F329" s="88"/>
      <c r="G329" s="88"/>
      <c r="H329" s="88"/>
      <c r="I329" s="88"/>
      <c r="J329" s="88"/>
      <c r="K329" s="88"/>
      <c r="L329" s="99"/>
    </row>
    <row r="330" spans="2:12" ht="18">
      <c r="B330" s="293"/>
      <c r="C330" s="126"/>
      <c r="D330" s="90"/>
      <c r="E330" s="129" t="s">
        <v>754</v>
      </c>
      <c r="F330" s="88"/>
      <c r="G330" s="88"/>
      <c r="H330" s="88">
        <v>0.07</v>
      </c>
      <c r="I330" s="88">
        <v>7.12</v>
      </c>
      <c r="J330" s="88">
        <f>H330*I330</f>
        <v>0.49840000000000007</v>
      </c>
      <c r="K330" s="88"/>
      <c r="L330" s="89">
        <f>J330</f>
        <v>0.49840000000000007</v>
      </c>
    </row>
    <row r="331" spans="2:12" ht="18">
      <c r="B331" s="85"/>
      <c r="C331" s="126"/>
      <c r="D331" s="90"/>
      <c r="E331" s="98" t="s">
        <v>556</v>
      </c>
      <c r="F331" s="88"/>
      <c r="G331" s="88"/>
      <c r="H331" s="88">
        <v>0.07</v>
      </c>
      <c r="I331" s="88">
        <f>11.08+31.19+29.93</f>
        <v>72.2</v>
      </c>
      <c r="J331" s="88">
        <f aca="true" t="shared" si="2" ref="J331:J352">H331*I331</f>
        <v>5.054</v>
      </c>
      <c r="K331" s="88"/>
      <c r="L331" s="89">
        <f aca="true" t="shared" si="3" ref="L331:L352">J331</f>
        <v>5.054</v>
      </c>
    </row>
    <row r="332" spans="2:12" ht="18">
      <c r="B332" s="85"/>
      <c r="C332" s="126"/>
      <c r="D332" s="90"/>
      <c r="E332" s="98" t="s">
        <v>544</v>
      </c>
      <c r="F332" s="88"/>
      <c r="G332" s="88"/>
      <c r="H332" s="88">
        <v>0.07</v>
      </c>
      <c r="I332" s="88">
        <v>18.73</v>
      </c>
      <c r="J332" s="88">
        <f t="shared" si="2"/>
        <v>1.3111000000000002</v>
      </c>
      <c r="K332" s="88"/>
      <c r="L332" s="89">
        <f t="shared" si="3"/>
        <v>1.3111000000000002</v>
      </c>
    </row>
    <row r="333" spans="2:12" ht="18">
      <c r="B333" s="85"/>
      <c r="C333" s="126"/>
      <c r="D333" s="90"/>
      <c r="E333" s="102" t="s">
        <v>92</v>
      </c>
      <c r="F333" s="88"/>
      <c r="G333" s="88"/>
      <c r="H333" s="88">
        <v>0.07</v>
      </c>
      <c r="I333" s="143">
        <v>4.78</v>
      </c>
      <c r="J333" s="88">
        <f t="shared" si="2"/>
        <v>0.33460000000000006</v>
      </c>
      <c r="K333" s="88"/>
      <c r="L333" s="89">
        <f t="shared" si="3"/>
        <v>0.33460000000000006</v>
      </c>
    </row>
    <row r="334" spans="2:12" ht="18">
      <c r="B334" s="85"/>
      <c r="C334" s="126"/>
      <c r="D334" s="90"/>
      <c r="E334" s="98" t="s">
        <v>566</v>
      </c>
      <c r="F334" s="88"/>
      <c r="G334" s="88"/>
      <c r="H334" s="88">
        <v>0.07</v>
      </c>
      <c r="I334" s="143">
        <f>5.95+2.75</f>
        <v>8.7</v>
      </c>
      <c r="J334" s="88">
        <f t="shared" si="2"/>
        <v>0.609</v>
      </c>
      <c r="K334" s="88"/>
      <c r="L334" s="89">
        <f t="shared" si="3"/>
        <v>0.609</v>
      </c>
    </row>
    <row r="335" spans="2:12" ht="18">
      <c r="B335" s="85"/>
      <c r="C335" s="126"/>
      <c r="D335" s="90"/>
      <c r="E335" s="98" t="s">
        <v>557</v>
      </c>
      <c r="F335" s="88"/>
      <c r="G335" s="88"/>
      <c r="H335" s="88">
        <v>0.07</v>
      </c>
      <c r="I335" s="88">
        <v>14.73</v>
      </c>
      <c r="J335" s="88">
        <f t="shared" si="2"/>
        <v>1.0311000000000001</v>
      </c>
      <c r="K335" s="88"/>
      <c r="L335" s="89">
        <f t="shared" si="3"/>
        <v>1.0311000000000001</v>
      </c>
    </row>
    <row r="336" spans="2:12" ht="18">
      <c r="B336" s="85"/>
      <c r="C336" s="126"/>
      <c r="D336" s="90"/>
      <c r="E336" s="98" t="s">
        <v>545</v>
      </c>
      <c r="F336" s="88"/>
      <c r="G336" s="88"/>
      <c r="H336" s="88">
        <v>0.07</v>
      </c>
      <c r="I336" s="88">
        <v>4.8</v>
      </c>
      <c r="J336" s="88">
        <f t="shared" si="2"/>
        <v>0.336</v>
      </c>
      <c r="K336" s="88"/>
      <c r="L336" s="89">
        <f t="shared" si="3"/>
        <v>0.336</v>
      </c>
    </row>
    <row r="337" spans="2:12" ht="18">
      <c r="B337" s="85"/>
      <c r="C337" s="126"/>
      <c r="D337" s="90"/>
      <c r="E337" s="98" t="s">
        <v>546</v>
      </c>
      <c r="F337" s="88"/>
      <c r="G337" s="88"/>
      <c r="H337" s="88">
        <v>0.07</v>
      </c>
      <c r="I337" s="88">
        <v>4.8</v>
      </c>
      <c r="J337" s="88">
        <f t="shared" si="2"/>
        <v>0.336</v>
      </c>
      <c r="K337" s="88"/>
      <c r="L337" s="89">
        <f t="shared" si="3"/>
        <v>0.336</v>
      </c>
    </row>
    <row r="338" spans="2:12" ht="18">
      <c r="B338" s="85"/>
      <c r="C338" s="126"/>
      <c r="D338" s="90"/>
      <c r="E338" s="98" t="s">
        <v>547</v>
      </c>
      <c r="F338" s="88"/>
      <c r="G338" s="88"/>
      <c r="H338" s="88">
        <v>0.07</v>
      </c>
      <c r="I338" s="88">
        <v>19.3</v>
      </c>
      <c r="J338" s="88">
        <f t="shared" si="2"/>
        <v>1.3510000000000002</v>
      </c>
      <c r="K338" s="88"/>
      <c r="L338" s="89">
        <f t="shared" si="3"/>
        <v>1.3510000000000002</v>
      </c>
    </row>
    <row r="339" spans="2:12" ht="18">
      <c r="B339" s="85"/>
      <c r="C339" s="126"/>
      <c r="D339" s="90"/>
      <c r="E339" s="98" t="s">
        <v>61</v>
      </c>
      <c r="F339" s="88"/>
      <c r="G339" s="88"/>
      <c r="H339" s="88">
        <v>0.07</v>
      </c>
      <c r="I339" s="88">
        <v>6.23</v>
      </c>
      <c r="J339" s="88">
        <f t="shared" si="2"/>
        <v>0.4361000000000001</v>
      </c>
      <c r="K339" s="88"/>
      <c r="L339" s="89">
        <f t="shared" si="3"/>
        <v>0.4361000000000001</v>
      </c>
    </row>
    <row r="340" spans="2:12" ht="18">
      <c r="B340" s="85"/>
      <c r="C340" s="126"/>
      <c r="D340" s="90"/>
      <c r="E340" s="98" t="s">
        <v>91</v>
      </c>
      <c r="F340" s="88"/>
      <c r="G340" s="88"/>
      <c r="H340" s="88">
        <v>0.07</v>
      </c>
      <c r="I340" s="88">
        <v>11.97</v>
      </c>
      <c r="J340" s="88">
        <f t="shared" si="2"/>
        <v>0.8379000000000001</v>
      </c>
      <c r="K340" s="88"/>
      <c r="L340" s="89">
        <f t="shared" si="3"/>
        <v>0.8379000000000001</v>
      </c>
    </row>
    <row r="341" spans="2:12" ht="18">
      <c r="B341" s="85"/>
      <c r="C341" s="126"/>
      <c r="D341" s="90"/>
      <c r="E341" s="98" t="s">
        <v>90</v>
      </c>
      <c r="F341" s="88"/>
      <c r="G341" s="88"/>
      <c r="H341" s="88">
        <v>0.07</v>
      </c>
      <c r="I341" s="88">
        <v>2.63</v>
      </c>
      <c r="J341" s="88">
        <f t="shared" si="2"/>
        <v>0.1841</v>
      </c>
      <c r="K341" s="88"/>
      <c r="L341" s="89">
        <f t="shared" si="3"/>
        <v>0.1841</v>
      </c>
    </row>
    <row r="342" spans="2:12" ht="18">
      <c r="B342" s="85"/>
      <c r="C342" s="126"/>
      <c r="D342" s="90"/>
      <c r="E342" s="98" t="s">
        <v>548</v>
      </c>
      <c r="F342" s="88"/>
      <c r="G342" s="88"/>
      <c r="H342" s="88">
        <v>0.07</v>
      </c>
      <c r="I342" s="88">
        <v>5.26</v>
      </c>
      <c r="J342" s="88">
        <f t="shared" si="2"/>
        <v>0.3682</v>
      </c>
      <c r="K342" s="88"/>
      <c r="L342" s="89">
        <f t="shared" si="3"/>
        <v>0.3682</v>
      </c>
    </row>
    <row r="343" spans="2:12" ht="18">
      <c r="B343" s="85"/>
      <c r="C343" s="126"/>
      <c r="D343" s="90"/>
      <c r="E343" s="190" t="s">
        <v>549</v>
      </c>
      <c r="F343" s="88"/>
      <c r="G343" s="88"/>
      <c r="H343" s="88">
        <v>0.07</v>
      </c>
      <c r="I343" s="88">
        <v>14.7</v>
      </c>
      <c r="J343" s="88">
        <f t="shared" si="2"/>
        <v>1.0290000000000001</v>
      </c>
      <c r="K343" s="88"/>
      <c r="L343" s="89">
        <f t="shared" si="3"/>
        <v>1.0290000000000001</v>
      </c>
    </row>
    <row r="344" spans="2:12" ht="18">
      <c r="B344" s="85"/>
      <c r="C344" s="126"/>
      <c r="D344" s="90"/>
      <c r="E344" s="98" t="s">
        <v>550</v>
      </c>
      <c r="F344" s="88"/>
      <c r="G344" s="88"/>
      <c r="H344" s="88">
        <v>0.07</v>
      </c>
      <c r="I344" s="88">
        <v>14.7</v>
      </c>
      <c r="J344" s="88">
        <f t="shared" si="2"/>
        <v>1.0290000000000001</v>
      </c>
      <c r="K344" s="88"/>
      <c r="L344" s="89">
        <f t="shared" si="3"/>
        <v>1.0290000000000001</v>
      </c>
    </row>
    <row r="345" spans="2:12" ht="18">
      <c r="B345" s="85"/>
      <c r="C345" s="126"/>
      <c r="D345" s="90"/>
      <c r="E345" s="98" t="s">
        <v>551</v>
      </c>
      <c r="F345" s="88"/>
      <c r="G345" s="88"/>
      <c r="H345" s="88">
        <v>0.07</v>
      </c>
      <c r="I345" s="88">
        <v>4.92</v>
      </c>
      <c r="J345" s="88">
        <f t="shared" si="2"/>
        <v>0.34440000000000004</v>
      </c>
      <c r="K345" s="88"/>
      <c r="L345" s="89">
        <f t="shared" si="3"/>
        <v>0.34440000000000004</v>
      </c>
    </row>
    <row r="346" spans="2:12" ht="18">
      <c r="B346" s="85"/>
      <c r="C346" s="126"/>
      <c r="D346" s="90"/>
      <c r="E346" s="98" t="s">
        <v>552</v>
      </c>
      <c r="F346" s="88"/>
      <c r="G346" s="88"/>
      <c r="H346" s="88">
        <v>0.07</v>
      </c>
      <c r="I346" s="88">
        <v>4.8</v>
      </c>
      <c r="J346" s="88">
        <f t="shared" si="2"/>
        <v>0.336</v>
      </c>
      <c r="K346" s="88"/>
      <c r="L346" s="89">
        <f t="shared" si="3"/>
        <v>0.336</v>
      </c>
    </row>
    <row r="347" spans="2:12" ht="18">
      <c r="B347" s="85"/>
      <c r="C347" s="126"/>
      <c r="D347" s="90"/>
      <c r="E347" s="98" t="s">
        <v>553</v>
      </c>
      <c r="F347" s="88"/>
      <c r="G347" s="88"/>
      <c r="H347" s="88">
        <v>0.07</v>
      </c>
      <c r="I347" s="88">
        <v>14.91</v>
      </c>
      <c r="J347" s="88">
        <f t="shared" si="2"/>
        <v>1.0437</v>
      </c>
      <c r="K347" s="88"/>
      <c r="L347" s="89">
        <f t="shared" si="3"/>
        <v>1.0437</v>
      </c>
    </row>
    <row r="348" spans="2:12" ht="18">
      <c r="B348" s="85"/>
      <c r="C348" s="126"/>
      <c r="D348" s="90"/>
      <c r="E348" s="98" t="s">
        <v>93</v>
      </c>
      <c r="F348" s="88"/>
      <c r="G348" s="88"/>
      <c r="H348" s="88">
        <v>0.07</v>
      </c>
      <c r="I348" s="88">
        <v>11.34</v>
      </c>
      <c r="J348" s="88">
        <f t="shared" si="2"/>
        <v>0.7938000000000001</v>
      </c>
      <c r="K348" s="88"/>
      <c r="L348" s="89">
        <f t="shared" si="3"/>
        <v>0.7938000000000001</v>
      </c>
    </row>
    <row r="349" spans="2:12" ht="18">
      <c r="B349" s="85"/>
      <c r="C349" s="126"/>
      <c r="D349" s="90"/>
      <c r="E349" s="98" t="s">
        <v>554</v>
      </c>
      <c r="F349" s="88"/>
      <c r="G349" s="88"/>
      <c r="H349" s="88">
        <v>0.07</v>
      </c>
      <c r="I349" s="88">
        <v>3.79</v>
      </c>
      <c r="J349" s="88">
        <f t="shared" si="2"/>
        <v>0.26530000000000004</v>
      </c>
      <c r="K349" s="88"/>
      <c r="L349" s="89">
        <f t="shared" si="3"/>
        <v>0.26530000000000004</v>
      </c>
    </row>
    <row r="350" spans="2:12" ht="18">
      <c r="B350" s="85"/>
      <c r="C350" s="126"/>
      <c r="D350" s="90"/>
      <c r="E350" s="98" t="s">
        <v>555</v>
      </c>
      <c r="F350" s="88"/>
      <c r="G350" s="88"/>
      <c r="H350" s="88">
        <v>0.07</v>
      </c>
      <c r="I350" s="88">
        <v>2.65</v>
      </c>
      <c r="J350" s="88">
        <f t="shared" si="2"/>
        <v>0.1855</v>
      </c>
      <c r="K350" s="88"/>
      <c r="L350" s="89">
        <f t="shared" si="3"/>
        <v>0.1855</v>
      </c>
    </row>
    <row r="351" spans="2:12" ht="18">
      <c r="B351" s="85"/>
      <c r="C351" s="126"/>
      <c r="D351" s="90"/>
      <c r="E351" s="98" t="s">
        <v>555</v>
      </c>
      <c r="F351" s="88"/>
      <c r="G351" s="88"/>
      <c r="H351" s="88">
        <v>0.07</v>
      </c>
      <c r="I351" s="88">
        <v>2.53</v>
      </c>
      <c r="J351" s="88">
        <f t="shared" si="2"/>
        <v>0.1771</v>
      </c>
      <c r="K351" s="88"/>
      <c r="L351" s="89">
        <f t="shared" si="3"/>
        <v>0.1771</v>
      </c>
    </row>
    <row r="352" spans="2:12" ht="18">
      <c r="B352" s="85"/>
      <c r="C352" s="126"/>
      <c r="D352" s="90"/>
      <c r="E352" s="98" t="s">
        <v>83</v>
      </c>
      <c r="F352" s="88"/>
      <c r="G352" s="88"/>
      <c r="H352" s="88">
        <v>0.07</v>
      </c>
      <c r="I352" s="88">
        <v>4.7</v>
      </c>
      <c r="J352" s="88">
        <f t="shared" si="2"/>
        <v>0.32900000000000007</v>
      </c>
      <c r="K352" s="88"/>
      <c r="L352" s="89">
        <f t="shared" si="3"/>
        <v>0.32900000000000007</v>
      </c>
    </row>
    <row r="353" spans="2:12" ht="18">
      <c r="B353" s="85"/>
      <c r="C353" s="126"/>
      <c r="D353" s="90"/>
      <c r="E353" s="129"/>
      <c r="F353" s="88"/>
      <c r="G353" s="88"/>
      <c r="H353" s="88"/>
      <c r="I353" s="88"/>
      <c r="J353" s="88"/>
      <c r="K353" s="88"/>
      <c r="L353" s="89"/>
    </row>
    <row r="354" spans="2:12" ht="18">
      <c r="B354" s="85"/>
      <c r="C354" s="126"/>
      <c r="D354" s="90"/>
      <c r="E354" s="593" t="s">
        <v>63</v>
      </c>
      <c r="F354" s="88"/>
      <c r="G354" s="88"/>
      <c r="H354" s="88"/>
      <c r="I354" s="88"/>
      <c r="J354" s="88"/>
      <c r="K354" s="88"/>
      <c r="L354" s="89"/>
    </row>
    <row r="355" spans="2:12" ht="18">
      <c r="B355" s="85"/>
      <c r="C355" s="126"/>
      <c r="D355" s="90"/>
      <c r="E355" s="129" t="s">
        <v>561</v>
      </c>
      <c r="F355" s="88"/>
      <c r="G355" s="88"/>
      <c r="H355" s="88">
        <v>0.07</v>
      </c>
      <c r="I355" s="88">
        <v>8.28</v>
      </c>
      <c r="J355" s="88">
        <f aca="true" t="shared" si="4" ref="J355:J360">H355*I355</f>
        <v>0.5796</v>
      </c>
      <c r="K355" s="88"/>
      <c r="L355" s="89">
        <f aca="true" t="shared" si="5" ref="L355:L360">J355</f>
        <v>0.5796</v>
      </c>
    </row>
    <row r="356" spans="2:12" ht="18">
      <c r="B356" s="85"/>
      <c r="C356" s="126"/>
      <c r="D356" s="90"/>
      <c r="E356" s="129" t="s">
        <v>560</v>
      </c>
      <c r="F356" s="88"/>
      <c r="G356" s="88"/>
      <c r="H356" s="88">
        <v>0.07</v>
      </c>
      <c r="I356" s="88">
        <v>11.76</v>
      </c>
      <c r="J356" s="88">
        <f t="shared" si="4"/>
        <v>0.8232</v>
      </c>
      <c r="K356" s="88"/>
      <c r="L356" s="89">
        <f t="shared" si="5"/>
        <v>0.8232</v>
      </c>
    </row>
    <row r="357" spans="2:12" ht="18">
      <c r="B357" s="85"/>
      <c r="C357" s="126"/>
      <c r="D357" s="90"/>
      <c r="E357" s="129" t="s">
        <v>564</v>
      </c>
      <c r="F357" s="88"/>
      <c r="G357" s="88"/>
      <c r="H357" s="88">
        <v>0.07</v>
      </c>
      <c r="I357" s="88">
        <v>7.65</v>
      </c>
      <c r="J357" s="88">
        <f t="shared" si="4"/>
        <v>0.5355000000000001</v>
      </c>
      <c r="K357" s="88"/>
      <c r="L357" s="89">
        <f t="shared" si="5"/>
        <v>0.5355000000000001</v>
      </c>
    </row>
    <row r="358" spans="2:12" ht="18">
      <c r="B358" s="85"/>
      <c r="C358" s="126"/>
      <c r="D358" s="90"/>
      <c r="E358" s="129" t="s">
        <v>563</v>
      </c>
      <c r="F358" s="88"/>
      <c r="G358" s="88"/>
      <c r="H358" s="88">
        <v>0.07</v>
      </c>
      <c r="I358" s="88">
        <v>8.55</v>
      </c>
      <c r="J358" s="88">
        <f t="shared" si="4"/>
        <v>0.5985000000000001</v>
      </c>
      <c r="K358" s="88"/>
      <c r="L358" s="89">
        <f t="shared" si="5"/>
        <v>0.5985000000000001</v>
      </c>
    </row>
    <row r="359" spans="2:12" ht="18">
      <c r="B359" s="85"/>
      <c r="C359" s="126"/>
      <c r="D359" s="90"/>
      <c r="E359" s="129" t="s">
        <v>562</v>
      </c>
      <c r="F359" s="88"/>
      <c r="G359" s="88"/>
      <c r="H359" s="88">
        <v>0.07</v>
      </c>
      <c r="I359" s="88">
        <v>9.9</v>
      </c>
      <c r="J359" s="88">
        <f t="shared" si="4"/>
        <v>0.6930000000000001</v>
      </c>
      <c r="K359" s="88"/>
      <c r="L359" s="89">
        <f t="shared" si="5"/>
        <v>0.6930000000000001</v>
      </c>
    </row>
    <row r="360" spans="2:12" ht="18">
      <c r="B360" s="85"/>
      <c r="C360" s="126"/>
      <c r="D360" s="90"/>
      <c r="E360" s="129" t="s">
        <v>559</v>
      </c>
      <c r="F360" s="88"/>
      <c r="G360" s="88"/>
      <c r="H360" s="88">
        <v>0.07</v>
      </c>
      <c r="I360" s="88">
        <v>9.72</v>
      </c>
      <c r="J360" s="88">
        <f t="shared" si="4"/>
        <v>0.6804000000000001</v>
      </c>
      <c r="K360" s="88"/>
      <c r="L360" s="89">
        <f t="shared" si="5"/>
        <v>0.6804000000000001</v>
      </c>
    </row>
    <row r="361" spans="2:12" ht="18">
      <c r="B361" s="91"/>
      <c r="C361" s="113"/>
      <c r="D361" s="96"/>
      <c r="E361" s="382"/>
      <c r="F361" s="95"/>
      <c r="G361" s="95"/>
      <c r="H361" s="95"/>
      <c r="I361" s="95"/>
      <c r="J361" s="95"/>
      <c r="K361" s="95"/>
      <c r="L361" s="97">
        <f>SUM(L330:L360)</f>
        <v>22.130500000000005</v>
      </c>
    </row>
    <row r="362" spans="2:12" ht="54">
      <c r="B362" s="291" t="str">
        <f>Orçamento!B254</f>
        <v>14.2</v>
      </c>
      <c r="C362" s="109" t="str">
        <f>Orçamento!C254</f>
        <v>Regularizacao de piso/base em argamassa traco 1:3 (cimento e areia), espessura 2,0cm, preparo manual</v>
      </c>
      <c r="D362" s="82" t="s">
        <v>39</v>
      </c>
      <c r="E362" s="416"/>
      <c r="F362" s="83"/>
      <c r="G362" s="83"/>
      <c r="H362" s="83"/>
      <c r="I362" s="83"/>
      <c r="J362" s="83"/>
      <c r="K362" s="83"/>
      <c r="L362" s="84"/>
    </row>
    <row r="363" spans="2:12" ht="18">
      <c r="B363" s="85"/>
      <c r="C363" s="126"/>
      <c r="D363" s="90"/>
      <c r="E363" s="593" t="s">
        <v>62</v>
      </c>
      <c r="F363" s="88"/>
      <c r="G363" s="88"/>
      <c r="H363" s="88"/>
      <c r="I363" s="88"/>
      <c r="J363" s="88"/>
      <c r="K363" s="88"/>
      <c r="L363" s="99"/>
    </row>
    <row r="364" spans="2:12" ht="18">
      <c r="B364" s="85"/>
      <c r="C364" s="126"/>
      <c r="D364" s="90"/>
      <c r="E364" s="129" t="s">
        <v>754</v>
      </c>
      <c r="F364" s="88"/>
      <c r="G364" s="88"/>
      <c r="H364" s="88"/>
      <c r="I364" s="88">
        <v>7.12</v>
      </c>
      <c r="J364" s="88"/>
      <c r="K364" s="88"/>
      <c r="L364" s="89">
        <f>I364</f>
        <v>7.12</v>
      </c>
    </row>
    <row r="365" spans="2:12" ht="18">
      <c r="B365" s="85"/>
      <c r="C365" s="126"/>
      <c r="D365" s="90"/>
      <c r="E365" s="98" t="s">
        <v>556</v>
      </c>
      <c r="F365" s="88"/>
      <c r="G365" s="88"/>
      <c r="H365" s="88"/>
      <c r="I365" s="88">
        <f>11.08+31.19+29.93</f>
        <v>72.2</v>
      </c>
      <c r="J365" s="88"/>
      <c r="K365" s="88"/>
      <c r="L365" s="89">
        <f aca="true" t="shared" si="6" ref="L365:L394">I365</f>
        <v>72.2</v>
      </c>
    </row>
    <row r="366" spans="2:12" ht="18">
      <c r="B366" s="85"/>
      <c r="C366" s="126"/>
      <c r="D366" s="90"/>
      <c r="E366" s="98" t="s">
        <v>544</v>
      </c>
      <c r="F366" s="88"/>
      <c r="G366" s="88"/>
      <c r="H366" s="88"/>
      <c r="I366" s="88">
        <v>18.73</v>
      </c>
      <c r="J366" s="88"/>
      <c r="K366" s="88"/>
      <c r="L366" s="89">
        <f t="shared" si="6"/>
        <v>18.73</v>
      </c>
    </row>
    <row r="367" spans="2:12" ht="18">
      <c r="B367" s="85"/>
      <c r="C367" s="126"/>
      <c r="D367" s="90"/>
      <c r="E367" s="102" t="s">
        <v>92</v>
      </c>
      <c r="F367" s="88"/>
      <c r="G367" s="88"/>
      <c r="H367" s="88"/>
      <c r="I367" s="143">
        <v>4.78</v>
      </c>
      <c r="J367" s="88"/>
      <c r="K367" s="88"/>
      <c r="L367" s="89">
        <f t="shared" si="6"/>
        <v>4.78</v>
      </c>
    </row>
    <row r="368" spans="2:12" ht="18">
      <c r="B368" s="85"/>
      <c r="C368" s="126"/>
      <c r="D368" s="90"/>
      <c r="E368" s="98" t="s">
        <v>566</v>
      </c>
      <c r="F368" s="88"/>
      <c r="G368" s="88"/>
      <c r="H368" s="88"/>
      <c r="I368" s="143">
        <f>5.95+2.75</f>
        <v>8.7</v>
      </c>
      <c r="J368" s="88"/>
      <c r="K368" s="88"/>
      <c r="L368" s="89">
        <f t="shared" si="6"/>
        <v>8.7</v>
      </c>
    </row>
    <row r="369" spans="2:12" ht="18">
      <c r="B369" s="85"/>
      <c r="C369" s="126"/>
      <c r="D369" s="90"/>
      <c r="E369" s="98" t="s">
        <v>557</v>
      </c>
      <c r="F369" s="88"/>
      <c r="G369" s="88"/>
      <c r="H369" s="88"/>
      <c r="I369" s="88">
        <v>14.73</v>
      </c>
      <c r="J369" s="88"/>
      <c r="K369" s="88"/>
      <c r="L369" s="89">
        <f t="shared" si="6"/>
        <v>14.73</v>
      </c>
    </row>
    <row r="370" spans="2:12" ht="18">
      <c r="B370" s="85"/>
      <c r="C370" s="126"/>
      <c r="D370" s="90"/>
      <c r="E370" s="98" t="s">
        <v>545</v>
      </c>
      <c r="F370" s="88"/>
      <c r="G370" s="88"/>
      <c r="H370" s="88"/>
      <c r="I370" s="88">
        <v>4.8</v>
      </c>
      <c r="J370" s="88"/>
      <c r="K370" s="88"/>
      <c r="L370" s="89">
        <f t="shared" si="6"/>
        <v>4.8</v>
      </c>
    </row>
    <row r="371" spans="2:12" ht="18">
      <c r="B371" s="85"/>
      <c r="C371" s="126"/>
      <c r="D371" s="90"/>
      <c r="E371" s="98" t="s">
        <v>546</v>
      </c>
      <c r="F371" s="88"/>
      <c r="G371" s="88"/>
      <c r="H371" s="88"/>
      <c r="I371" s="88">
        <v>4.8</v>
      </c>
      <c r="J371" s="88"/>
      <c r="K371" s="88"/>
      <c r="L371" s="89">
        <f t="shared" si="6"/>
        <v>4.8</v>
      </c>
    </row>
    <row r="372" spans="2:12" ht="18">
      <c r="B372" s="85"/>
      <c r="C372" s="126"/>
      <c r="D372" s="90"/>
      <c r="E372" s="98" t="s">
        <v>547</v>
      </c>
      <c r="F372" s="88"/>
      <c r="G372" s="88"/>
      <c r="H372" s="88"/>
      <c r="I372" s="88">
        <v>19.3</v>
      </c>
      <c r="J372" s="88"/>
      <c r="K372" s="88"/>
      <c r="L372" s="89">
        <f t="shared" si="6"/>
        <v>19.3</v>
      </c>
    </row>
    <row r="373" spans="2:12" ht="18">
      <c r="B373" s="85"/>
      <c r="C373" s="126"/>
      <c r="D373" s="90"/>
      <c r="E373" s="98" t="s">
        <v>61</v>
      </c>
      <c r="F373" s="88"/>
      <c r="G373" s="88"/>
      <c r="H373" s="88"/>
      <c r="I373" s="88">
        <v>6.23</v>
      </c>
      <c r="J373" s="88"/>
      <c r="K373" s="88"/>
      <c r="L373" s="89">
        <f t="shared" si="6"/>
        <v>6.23</v>
      </c>
    </row>
    <row r="374" spans="2:12" ht="18">
      <c r="B374" s="85"/>
      <c r="C374" s="126"/>
      <c r="D374" s="90"/>
      <c r="E374" s="98" t="s">
        <v>91</v>
      </c>
      <c r="F374" s="88"/>
      <c r="G374" s="88"/>
      <c r="H374" s="88"/>
      <c r="I374" s="88">
        <v>11.97</v>
      </c>
      <c r="J374" s="88"/>
      <c r="K374" s="88"/>
      <c r="L374" s="89">
        <f t="shared" si="6"/>
        <v>11.97</v>
      </c>
    </row>
    <row r="375" spans="2:12" ht="18">
      <c r="B375" s="85"/>
      <c r="C375" s="126"/>
      <c r="D375" s="90"/>
      <c r="E375" s="98" t="s">
        <v>90</v>
      </c>
      <c r="F375" s="88"/>
      <c r="G375" s="88"/>
      <c r="H375" s="88"/>
      <c r="I375" s="88">
        <v>2.63</v>
      </c>
      <c r="J375" s="88"/>
      <c r="K375" s="88"/>
      <c r="L375" s="89">
        <f t="shared" si="6"/>
        <v>2.63</v>
      </c>
    </row>
    <row r="376" spans="2:12" ht="18">
      <c r="B376" s="85"/>
      <c r="C376" s="126"/>
      <c r="D376" s="90"/>
      <c r="E376" s="98" t="s">
        <v>548</v>
      </c>
      <c r="F376" s="88"/>
      <c r="G376" s="88"/>
      <c r="H376" s="88"/>
      <c r="I376" s="88">
        <v>5.26</v>
      </c>
      <c r="J376" s="88"/>
      <c r="K376" s="88"/>
      <c r="L376" s="89">
        <f t="shared" si="6"/>
        <v>5.26</v>
      </c>
    </row>
    <row r="377" spans="2:12" ht="18">
      <c r="B377" s="85"/>
      <c r="C377" s="126"/>
      <c r="D377" s="90"/>
      <c r="E377" s="190" t="s">
        <v>549</v>
      </c>
      <c r="F377" s="88"/>
      <c r="G377" s="88"/>
      <c r="H377" s="88"/>
      <c r="I377" s="88">
        <v>14.7</v>
      </c>
      <c r="J377" s="88"/>
      <c r="K377" s="88"/>
      <c r="L377" s="89">
        <f t="shared" si="6"/>
        <v>14.7</v>
      </c>
    </row>
    <row r="378" spans="2:12" ht="18">
      <c r="B378" s="85"/>
      <c r="C378" s="126"/>
      <c r="D378" s="90"/>
      <c r="E378" s="98" t="s">
        <v>550</v>
      </c>
      <c r="F378" s="88"/>
      <c r="G378" s="88"/>
      <c r="H378" s="88"/>
      <c r="I378" s="88">
        <v>14.7</v>
      </c>
      <c r="J378" s="88"/>
      <c r="K378" s="88"/>
      <c r="L378" s="89">
        <f t="shared" si="6"/>
        <v>14.7</v>
      </c>
    </row>
    <row r="379" spans="2:12" ht="18">
      <c r="B379" s="85"/>
      <c r="C379" s="126"/>
      <c r="D379" s="90"/>
      <c r="E379" s="98" t="s">
        <v>551</v>
      </c>
      <c r="F379" s="88"/>
      <c r="G379" s="88"/>
      <c r="H379" s="88"/>
      <c r="I379" s="88">
        <v>4.92</v>
      </c>
      <c r="J379" s="88"/>
      <c r="K379" s="88"/>
      <c r="L379" s="89">
        <f t="shared" si="6"/>
        <v>4.92</v>
      </c>
    </row>
    <row r="380" spans="2:12" ht="18">
      <c r="B380" s="85"/>
      <c r="C380" s="126"/>
      <c r="D380" s="90"/>
      <c r="E380" s="98" t="s">
        <v>552</v>
      </c>
      <c r="F380" s="88"/>
      <c r="G380" s="88"/>
      <c r="H380" s="88"/>
      <c r="I380" s="88">
        <v>4.8</v>
      </c>
      <c r="J380" s="88"/>
      <c r="K380" s="88"/>
      <c r="L380" s="89">
        <f t="shared" si="6"/>
        <v>4.8</v>
      </c>
    </row>
    <row r="381" spans="2:12" ht="18">
      <c r="B381" s="85"/>
      <c r="C381" s="126"/>
      <c r="D381" s="90"/>
      <c r="E381" s="98" t="s">
        <v>553</v>
      </c>
      <c r="F381" s="88"/>
      <c r="G381" s="88"/>
      <c r="H381" s="88"/>
      <c r="I381" s="88">
        <v>14.91</v>
      </c>
      <c r="J381" s="88"/>
      <c r="K381" s="88"/>
      <c r="L381" s="89">
        <f t="shared" si="6"/>
        <v>14.91</v>
      </c>
    </row>
    <row r="382" spans="2:12" ht="18">
      <c r="B382" s="85"/>
      <c r="C382" s="126"/>
      <c r="D382" s="90"/>
      <c r="E382" s="98" t="s">
        <v>93</v>
      </c>
      <c r="F382" s="88"/>
      <c r="G382" s="88"/>
      <c r="H382" s="88"/>
      <c r="I382" s="88">
        <v>11.34</v>
      </c>
      <c r="J382" s="88"/>
      <c r="K382" s="88"/>
      <c r="L382" s="89">
        <f t="shared" si="6"/>
        <v>11.34</v>
      </c>
    </row>
    <row r="383" spans="2:12" ht="18">
      <c r="B383" s="85"/>
      <c r="C383" s="126"/>
      <c r="D383" s="90"/>
      <c r="E383" s="98" t="s">
        <v>554</v>
      </c>
      <c r="F383" s="88"/>
      <c r="G383" s="88"/>
      <c r="H383" s="88"/>
      <c r="I383" s="88">
        <v>3.79</v>
      </c>
      <c r="J383" s="88"/>
      <c r="K383" s="88"/>
      <c r="L383" s="89">
        <f t="shared" si="6"/>
        <v>3.79</v>
      </c>
    </row>
    <row r="384" spans="2:12" ht="18">
      <c r="B384" s="85"/>
      <c r="C384" s="126"/>
      <c r="D384" s="90"/>
      <c r="E384" s="98" t="s">
        <v>555</v>
      </c>
      <c r="F384" s="88"/>
      <c r="G384" s="88"/>
      <c r="H384" s="88"/>
      <c r="I384" s="88">
        <v>2.65</v>
      </c>
      <c r="J384" s="88"/>
      <c r="K384" s="88"/>
      <c r="L384" s="89">
        <f t="shared" si="6"/>
        <v>2.65</v>
      </c>
    </row>
    <row r="385" spans="2:12" ht="18">
      <c r="B385" s="85"/>
      <c r="C385" s="126"/>
      <c r="D385" s="90"/>
      <c r="E385" s="98" t="s">
        <v>555</v>
      </c>
      <c r="F385" s="88"/>
      <c r="G385" s="88"/>
      <c r="H385" s="88"/>
      <c r="I385" s="88">
        <v>2.53</v>
      </c>
      <c r="J385" s="88"/>
      <c r="K385" s="88"/>
      <c r="L385" s="89">
        <f t="shared" si="6"/>
        <v>2.53</v>
      </c>
    </row>
    <row r="386" spans="2:12" ht="18">
      <c r="B386" s="85"/>
      <c r="C386" s="126"/>
      <c r="D386" s="90"/>
      <c r="E386" s="98" t="s">
        <v>83</v>
      </c>
      <c r="F386" s="88"/>
      <c r="G386" s="88"/>
      <c r="H386" s="88"/>
      <c r="I386" s="88">
        <v>4.7</v>
      </c>
      <c r="J386" s="88"/>
      <c r="K386" s="88"/>
      <c r="L386" s="89">
        <f t="shared" si="6"/>
        <v>4.7</v>
      </c>
    </row>
    <row r="387" spans="2:12" ht="18">
      <c r="B387" s="85"/>
      <c r="C387" s="126"/>
      <c r="D387" s="90"/>
      <c r="E387" s="129"/>
      <c r="F387" s="88"/>
      <c r="G387" s="88"/>
      <c r="H387" s="88"/>
      <c r="I387" s="88"/>
      <c r="J387" s="88"/>
      <c r="K387" s="88"/>
      <c r="L387" s="89"/>
    </row>
    <row r="388" spans="2:12" ht="18">
      <c r="B388" s="85"/>
      <c r="C388" s="126"/>
      <c r="D388" s="90"/>
      <c r="E388" s="593" t="s">
        <v>63</v>
      </c>
      <c r="F388" s="88"/>
      <c r="G388" s="88"/>
      <c r="H388" s="88"/>
      <c r="I388" s="88"/>
      <c r="J388" s="88"/>
      <c r="K388" s="88"/>
      <c r="L388" s="89"/>
    </row>
    <row r="389" spans="2:12" ht="18">
      <c r="B389" s="85"/>
      <c r="C389" s="126"/>
      <c r="D389" s="90"/>
      <c r="E389" s="129" t="s">
        <v>561</v>
      </c>
      <c r="F389" s="88"/>
      <c r="G389" s="88"/>
      <c r="H389" s="88"/>
      <c r="I389" s="88">
        <v>8.28</v>
      </c>
      <c r="J389" s="88"/>
      <c r="K389" s="88"/>
      <c r="L389" s="89">
        <f t="shared" si="6"/>
        <v>8.28</v>
      </c>
    </row>
    <row r="390" spans="2:12" ht="18">
      <c r="B390" s="85"/>
      <c r="C390" s="126"/>
      <c r="D390" s="90"/>
      <c r="E390" s="129" t="s">
        <v>560</v>
      </c>
      <c r="F390" s="88"/>
      <c r="G390" s="88"/>
      <c r="H390" s="88"/>
      <c r="I390" s="88">
        <v>11.76</v>
      </c>
      <c r="J390" s="88"/>
      <c r="K390" s="88"/>
      <c r="L390" s="89">
        <f t="shared" si="6"/>
        <v>11.76</v>
      </c>
    </row>
    <row r="391" spans="2:12" ht="18">
      <c r="B391" s="85"/>
      <c r="C391" s="126"/>
      <c r="D391" s="90"/>
      <c r="E391" s="129" t="s">
        <v>564</v>
      </c>
      <c r="F391" s="88"/>
      <c r="G391" s="88"/>
      <c r="H391" s="88"/>
      <c r="I391" s="88">
        <v>7.65</v>
      </c>
      <c r="J391" s="88"/>
      <c r="K391" s="88"/>
      <c r="L391" s="89">
        <f t="shared" si="6"/>
        <v>7.65</v>
      </c>
    </row>
    <row r="392" spans="2:12" ht="18">
      <c r="B392" s="85"/>
      <c r="C392" s="126"/>
      <c r="D392" s="90"/>
      <c r="E392" s="129" t="s">
        <v>563</v>
      </c>
      <c r="F392" s="88"/>
      <c r="G392" s="88"/>
      <c r="H392" s="88"/>
      <c r="I392" s="88">
        <v>8.55</v>
      </c>
      <c r="J392" s="88"/>
      <c r="K392" s="88"/>
      <c r="L392" s="89">
        <f t="shared" si="6"/>
        <v>8.55</v>
      </c>
    </row>
    <row r="393" spans="2:12" ht="18">
      <c r="B393" s="85"/>
      <c r="C393" s="126"/>
      <c r="D393" s="90"/>
      <c r="E393" s="129" t="s">
        <v>562</v>
      </c>
      <c r="F393" s="88"/>
      <c r="G393" s="88"/>
      <c r="H393" s="88"/>
      <c r="I393" s="88">
        <v>9.9</v>
      </c>
      <c r="J393" s="88"/>
      <c r="K393" s="88"/>
      <c r="L393" s="89">
        <f t="shared" si="6"/>
        <v>9.9</v>
      </c>
    </row>
    <row r="394" spans="2:12" ht="18">
      <c r="B394" s="85"/>
      <c r="C394" s="126"/>
      <c r="D394" s="90"/>
      <c r="E394" s="129" t="s">
        <v>559</v>
      </c>
      <c r="F394" s="88"/>
      <c r="G394" s="88"/>
      <c r="H394" s="88"/>
      <c r="I394" s="88">
        <v>9.72</v>
      </c>
      <c r="J394" s="88"/>
      <c r="K394" s="88"/>
      <c r="L394" s="89">
        <f t="shared" si="6"/>
        <v>9.72</v>
      </c>
    </row>
    <row r="395" spans="2:12" ht="18">
      <c r="B395" s="91"/>
      <c r="C395" s="113"/>
      <c r="D395" s="96"/>
      <c r="E395" s="382"/>
      <c r="F395" s="95"/>
      <c r="G395" s="95"/>
      <c r="H395" s="95"/>
      <c r="I395" s="95"/>
      <c r="J395" s="95"/>
      <c r="K395" s="95"/>
      <c r="L395" s="97">
        <f>SUM(L364:L394)</f>
        <v>316.15</v>
      </c>
    </row>
    <row r="396" spans="2:12" ht="54">
      <c r="B396" s="108" t="str">
        <f>Orçamento!B255</f>
        <v>14.3</v>
      </c>
      <c r="C396" s="109" t="str">
        <f>Orçamento!C255</f>
        <v>Revestimento porcelanato retificado, aplicado com argamassa industrializada, rejuntado c/epoxi, junta máxima de 2mm</v>
      </c>
      <c r="D396" s="82" t="s">
        <v>39</v>
      </c>
      <c r="E396" s="416"/>
      <c r="F396" s="83"/>
      <c r="G396" s="83"/>
      <c r="H396" s="83"/>
      <c r="I396" s="83"/>
      <c r="J396" s="83"/>
      <c r="K396" s="83"/>
      <c r="L396" s="84"/>
    </row>
    <row r="397" spans="2:12" ht="18">
      <c r="B397" s="85"/>
      <c r="C397" s="126"/>
      <c r="D397" s="90"/>
      <c r="E397" s="593" t="s">
        <v>62</v>
      </c>
      <c r="F397" s="88"/>
      <c r="G397" s="88"/>
      <c r="H397" s="88"/>
      <c r="I397" s="88"/>
      <c r="J397" s="88"/>
      <c r="K397" s="88"/>
      <c r="L397" s="99"/>
    </row>
    <row r="398" spans="2:12" ht="18">
      <c r="B398" s="85"/>
      <c r="C398" s="126"/>
      <c r="D398" s="90"/>
      <c r="E398" s="129" t="s">
        <v>754</v>
      </c>
      <c r="F398" s="88"/>
      <c r="G398" s="88"/>
      <c r="H398" s="88"/>
      <c r="I398" s="88">
        <v>7.12</v>
      </c>
      <c r="J398" s="88"/>
      <c r="K398" s="88"/>
      <c r="L398" s="89">
        <f>I398</f>
        <v>7.12</v>
      </c>
    </row>
    <row r="399" spans="2:12" ht="18">
      <c r="B399" s="85"/>
      <c r="C399" s="126"/>
      <c r="D399" s="90"/>
      <c r="E399" s="98" t="s">
        <v>556</v>
      </c>
      <c r="F399" s="88"/>
      <c r="G399" s="88"/>
      <c r="H399" s="88"/>
      <c r="I399" s="88">
        <f>11.08+31.19+29.93</f>
        <v>72.2</v>
      </c>
      <c r="J399" s="88"/>
      <c r="K399" s="88"/>
      <c r="L399" s="89">
        <f aca="true" t="shared" si="7" ref="L399:L420">I399</f>
        <v>72.2</v>
      </c>
    </row>
    <row r="400" spans="2:12" ht="18">
      <c r="B400" s="85"/>
      <c r="C400" s="126"/>
      <c r="D400" s="90"/>
      <c r="E400" s="98" t="s">
        <v>544</v>
      </c>
      <c r="F400" s="88"/>
      <c r="G400" s="88"/>
      <c r="H400" s="88"/>
      <c r="I400" s="88">
        <v>18.73</v>
      </c>
      <c r="J400" s="88"/>
      <c r="K400" s="88"/>
      <c r="L400" s="89">
        <f t="shared" si="7"/>
        <v>18.73</v>
      </c>
    </row>
    <row r="401" spans="2:12" ht="18">
      <c r="B401" s="85"/>
      <c r="C401" s="126"/>
      <c r="D401" s="90"/>
      <c r="E401" s="102" t="s">
        <v>92</v>
      </c>
      <c r="F401" s="88"/>
      <c r="G401" s="88"/>
      <c r="H401" s="88"/>
      <c r="I401" s="143">
        <v>4.78</v>
      </c>
      <c r="J401" s="88"/>
      <c r="K401" s="88"/>
      <c r="L401" s="89">
        <f t="shared" si="7"/>
        <v>4.78</v>
      </c>
    </row>
    <row r="402" spans="2:12" ht="18">
      <c r="B402" s="85"/>
      <c r="C402" s="126"/>
      <c r="D402" s="90"/>
      <c r="E402" s="98" t="s">
        <v>566</v>
      </c>
      <c r="F402" s="88"/>
      <c r="G402" s="88"/>
      <c r="H402" s="88"/>
      <c r="I402" s="143">
        <f>5.95+2.75</f>
        <v>8.7</v>
      </c>
      <c r="J402" s="88"/>
      <c r="K402" s="88"/>
      <c r="L402" s="89">
        <f t="shared" si="7"/>
        <v>8.7</v>
      </c>
    </row>
    <row r="403" spans="2:12" ht="18">
      <c r="B403" s="85"/>
      <c r="C403" s="126"/>
      <c r="D403" s="90"/>
      <c r="E403" s="98" t="s">
        <v>557</v>
      </c>
      <c r="F403" s="88"/>
      <c r="G403" s="88"/>
      <c r="H403" s="88"/>
      <c r="I403" s="88">
        <v>14.73</v>
      </c>
      <c r="J403" s="88"/>
      <c r="K403" s="88"/>
      <c r="L403" s="89">
        <f t="shared" si="7"/>
        <v>14.73</v>
      </c>
    </row>
    <row r="404" spans="2:12" ht="18">
      <c r="B404" s="85"/>
      <c r="C404" s="126"/>
      <c r="D404" s="90"/>
      <c r="E404" s="98" t="s">
        <v>545</v>
      </c>
      <c r="F404" s="88"/>
      <c r="G404" s="88"/>
      <c r="H404" s="88"/>
      <c r="I404" s="88">
        <v>4.8</v>
      </c>
      <c r="J404" s="88"/>
      <c r="K404" s="88"/>
      <c r="L404" s="89">
        <f t="shared" si="7"/>
        <v>4.8</v>
      </c>
    </row>
    <row r="405" spans="2:12" ht="18">
      <c r="B405" s="85"/>
      <c r="C405" s="126"/>
      <c r="D405" s="90"/>
      <c r="E405" s="98" t="s">
        <v>546</v>
      </c>
      <c r="F405" s="88"/>
      <c r="G405" s="88"/>
      <c r="H405" s="88"/>
      <c r="I405" s="88">
        <v>4.8</v>
      </c>
      <c r="J405" s="88"/>
      <c r="K405" s="88"/>
      <c r="L405" s="89">
        <f t="shared" si="7"/>
        <v>4.8</v>
      </c>
    </row>
    <row r="406" spans="2:12" ht="18">
      <c r="B406" s="85"/>
      <c r="C406" s="126"/>
      <c r="D406" s="90"/>
      <c r="E406" s="98" t="s">
        <v>547</v>
      </c>
      <c r="F406" s="88"/>
      <c r="G406" s="88"/>
      <c r="H406" s="88"/>
      <c r="I406" s="88">
        <v>19.3</v>
      </c>
      <c r="J406" s="88"/>
      <c r="K406" s="88"/>
      <c r="L406" s="89">
        <f t="shared" si="7"/>
        <v>19.3</v>
      </c>
    </row>
    <row r="407" spans="2:12" ht="18">
      <c r="B407" s="85"/>
      <c r="C407" s="126"/>
      <c r="D407" s="90"/>
      <c r="E407" s="98" t="s">
        <v>61</v>
      </c>
      <c r="F407" s="88"/>
      <c r="G407" s="88"/>
      <c r="H407" s="88"/>
      <c r="I407" s="88">
        <v>6.23</v>
      </c>
      <c r="J407" s="88"/>
      <c r="K407" s="88"/>
      <c r="L407" s="89">
        <f t="shared" si="7"/>
        <v>6.23</v>
      </c>
    </row>
    <row r="408" spans="2:12" ht="18">
      <c r="B408" s="85"/>
      <c r="C408" s="126"/>
      <c r="D408" s="90"/>
      <c r="E408" s="98" t="s">
        <v>91</v>
      </c>
      <c r="F408" s="88"/>
      <c r="G408" s="88"/>
      <c r="H408" s="88"/>
      <c r="I408" s="88">
        <v>11.97</v>
      </c>
      <c r="J408" s="88"/>
      <c r="K408" s="88"/>
      <c r="L408" s="89">
        <f t="shared" si="7"/>
        <v>11.97</v>
      </c>
    </row>
    <row r="409" spans="2:12" ht="18">
      <c r="B409" s="85"/>
      <c r="C409" s="126"/>
      <c r="D409" s="90"/>
      <c r="E409" s="98" t="s">
        <v>90</v>
      </c>
      <c r="F409" s="88"/>
      <c r="G409" s="88"/>
      <c r="H409" s="88"/>
      <c r="I409" s="88">
        <v>2.63</v>
      </c>
      <c r="J409" s="88"/>
      <c r="K409" s="88"/>
      <c r="L409" s="89">
        <f t="shared" si="7"/>
        <v>2.63</v>
      </c>
    </row>
    <row r="410" spans="2:12" ht="18">
      <c r="B410" s="85"/>
      <c r="C410" s="126"/>
      <c r="D410" s="90"/>
      <c r="E410" s="98" t="s">
        <v>548</v>
      </c>
      <c r="F410" s="88"/>
      <c r="G410" s="88"/>
      <c r="H410" s="88"/>
      <c r="I410" s="88">
        <v>5.26</v>
      </c>
      <c r="J410" s="88"/>
      <c r="K410" s="88"/>
      <c r="L410" s="89">
        <f t="shared" si="7"/>
        <v>5.26</v>
      </c>
    </row>
    <row r="411" spans="2:12" ht="18">
      <c r="B411" s="85"/>
      <c r="C411" s="126"/>
      <c r="D411" s="90"/>
      <c r="E411" s="190" t="s">
        <v>549</v>
      </c>
      <c r="F411" s="88"/>
      <c r="G411" s="88"/>
      <c r="H411" s="88"/>
      <c r="I411" s="88">
        <v>14.7</v>
      </c>
      <c r="J411" s="88"/>
      <c r="K411" s="88"/>
      <c r="L411" s="89">
        <f t="shared" si="7"/>
        <v>14.7</v>
      </c>
    </row>
    <row r="412" spans="2:12" ht="18">
      <c r="B412" s="85"/>
      <c r="C412" s="126"/>
      <c r="D412" s="90"/>
      <c r="E412" s="98" t="s">
        <v>550</v>
      </c>
      <c r="F412" s="88"/>
      <c r="G412" s="88"/>
      <c r="H412" s="88"/>
      <c r="I412" s="88">
        <v>14.7</v>
      </c>
      <c r="J412" s="88"/>
      <c r="K412" s="88"/>
      <c r="L412" s="89">
        <f t="shared" si="7"/>
        <v>14.7</v>
      </c>
    </row>
    <row r="413" spans="2:12" ht="18">
      <c r="B413" s="85"/>
      <c r="C413" s="126"/>
      <c r="D413" s="90"/>
      <c r="E413" s="98" t="s">
        <v>551</v>
      </c>
      <c r="F413" s="88"/>
      <c r="G413" s="88"/>
      <c r="H413" s="88"/>
      <c r="I413" s="88">
        <v>4.92</v>
      </c>
      <c r="J413" s="88"/>
      <c r="K413" s="88"/>
      <c r="L413" s="89">
        <f t="shared" si="7"/>
        <v>4.92</v>
      </c>
    </row>
    <row r="414" spans="2:12" ht="18">
      <c r="B414" s="85"/>
      <c r="C414" s="126"/>
      <c r="D414" s="90"/>
      <c r="E414" s="98" t="s">
        <v>552</v>
      </c>
      <c r="F414" s="88"/>
      <c r="G414" s="88"/>
      <c r="H414" s="88"/>
      <c r="I414" s="88">
        <v>4.8</v>
      </c>
      <c r="J414" s="88"/>
      <c r="K414" s="88"/>
      <c r="L414" s="89">
        <f t="shared" si="7"/>
        <v>4.8</v>
      </c>
    </row>
    <row r="415" spans="2:12" ht="18">
      <c r="B415" s="85"/>
      <c r="C415" s="126"/>
      <c r="D415" s="90"/>
      <c r="E415" s="98" t="s">
        <v>553</v>
      </c>
      <c r="F415" s="88"/>
      <c r="G415" s="88"/>
      <c r="H415" s="88"/>
      <c r="I415" s="88">
        <v>14.91</v>
      </c>
      <c r="J415" s="88"/>
      <c r="K415" s="88"/>
      <c r="L415" s="89">
        <f t="shared" si="7"/>
        <v>14.91</v>
      </c>
    </row>
    <row r="416" spans="2:12" ht="18">
      <c r="B416" s="85"/>
      <c r="C416" s="126"/>
      <c r="D416" s="90"/>
      <c r="E416" s="98" t="s">
        <v>93</v>
      </c>
      <c r="F416" s="88"/>
      <c r="G416" s="88"/>
      <c r="H416" s="88"/>
      <c r="I416" s="88">
        <v>11.34</v>
      </c>
      <c r="J416" s="88"/>
      <c r="K416" s="88"/>
      <c r="L416" s="89">
        <f t="shared" si="7"/>
        <v>11.34</v>
      </c>
    </row>
    <row r="417" spans="2:12" ht="18">
      <c r="B417" s="85"/>
      <c r="C417" s="126"/>
      <c r="D417" s="90"/>
      <c r="E417" s="98" t="s">
        <v>554</v>
      </c>
      <c r="F417" s="88"/>
      <c r="G417" s="88"/>
      <c r="H417" s="88"/>
      <c r="I417" s="88">
        <v>3.79</v>
      </c>
      <c r="J417" s="88"/>
      <c r="K417" s="88"/>
      <c r="L417" s="89">
        <f t="shared" si="7"/>
        <v>3.79</v>
      </c>
    </row>
    <row r="418" spans="2:12" ht="18">
      <c r="B418" s="85"/>
      <c r="C418" s="126"/>
      <c r="D418" s="90"/>
      <c r="E418" s="98" t="s">
        <v>555</v>
      </c>
      <c r="F418" s="88"/>
      <c r="G418" s="88"/>
      <c r="H418" s="88"/>
      <c r="I418" s="88">
        <v>2.65</v>
      </c>
      <c r="J418" s="88"/>
      <c r="K418" s="88"/>
      <c r="L418" s="89">
        <f t="shared" si="7"/>
        <v>2.65</v>
      </c>
    </row>
    <row r="419" spans="2:12" ht="18">
      <c r="B419" s="85"/>
      <c r="C419" s="126"/>
      <c r="D419" s="90"/>
      <c r="E419" s="98" t="s">
        <v>555</v>
      </c>
      <c r="F419" s="88"/>
      <c r="G419" s="88"/>
      <c r="H419" s="88"/>
      <c r="I419" s="88">
        <v>2.53</v>
      </c>
      <c r="J419" s="88"/>
      <c r="K419" s="88"/>
      <c r="L419" s="89">
        <f t="shared" si="7"/>
        <v>2.53</v>
      </c>
    </row>
    <row r="420" spans="2:12" ht="18">
      <c r="B420" s="85"/>
      <c r="C420" s="126"/>
      <c r="D420" s="90"/>
      <c r="E420" s="98" t="s">
        <v>83</v>
      </c>
      <c r="F420" s="88"/>
      <c r="G420" s="88"/>
      <c r="H420" s="88"/>
      <c r="I420" s="88">
        <v>4.7</v>
      </c>
      <c r="J420" s="88"/>
      <c r="K420" s="88"/>
      <c r="L420" s="89">
        <f t="shared" si="7"/>
        <v>4.7</v>
      </c>
    </row>
    <row r="421" spans="2:12" ht="18">
      <c r="B421" s="85"/>
      <c r="C421" s="126"/>
      <c r="D421" s="90"/>
      <c r="E421" s="129"/>
      <c r="F421" s="88"/>
      <c r="G421" s="88"/>
      <c r="H421" s="88"/>
      <c r="I421" s="88"/>
      <c r="J421" s="88"/>
      <c r="K421" s="88"/>
      <c r="L421" s="89"/>
    </row>
    <row r="422" spans="2:12" ht="18">
      <c r="B422" s="85"/>
      <c r="C422" s="126"/>
      <c r="D422" s="90"/>
      <c r="E422" s="593" t="s">
        <v>63</v>
      </c>
      <c r="F422" s="88"/>
      <c r="G422" s="88"/>
      <c r="H422" s="88"/>
      <c r="I422" s="88"/>
      <c r="J422" s="88"/>
      <c r="K422" s="88"/>
      <c r="L422" s="89"/>
    </row>
    <row r="423" spans="2:12" ht="18">
      <c r="B423" s="85"/>
      <c r="C423" s="126"/>
      <c r="D423" s="90"/>
      <c r="E423" s="129" t="s">
        <v>561</v>
      </c>
      <c r="F423" s="88"/>
      <c r="G423" s="88"/>
      <c r="H423" s="88"/>
      <c r="I423" s="88">
        <v>8.28</v>
      </c>
      <c r="J423" s="88"/>
      <c r="K423" s="88"/>
      <c r="L423" s="89">
        <f aca="true" t="shared" si="8" ref="L423:L428">I423</f>
        <v>8.28</v>
      </c>
    </row>
    <row r="424" spans="2:12" ht="18">
      <c r="B424" s="85"/>
      <c r="C424" s="126"/>
      <c r="D424" s="90"/>
      <c r="E424" s="129" t="s">
        <v>560</v>
      </c>
      <c r="F424" s="88"/>
      <c r="G424" s="88"/>
      <c r="H424" s="88"/>
      <c r="I424" s="88">
        <v>11.76</v>
      </c>
      <c r="J424" s="88"/>
      <c r="K424" s="88"/>
      <c r="L424" s="89">
        <f t="shared" si="8"/>
        <v>11.76</v>
      </c>
    </row>
    <row r="425" spans="2:12" ht="18">
      <c r="B425" s="85"/>
      <c r="C425" s="126"/>
      <c r="D425" s="90"/>
      <c r="E425" s="129" t="s">
        <v>564</v>
      </c>
      <c r="F425" s="88"/>
      <c r="G425" s="88"/>
      <c r="H425" s="88"/>
      <c r="I425" s="88">
        <v>7.65</v>
      </c>
      <c r="J425" s="88"/>
      <c r="K425" s="88"/>
      <c r="L425" s="89">
        <f t="shared" si="8"/>
        <v>7.65</v>
      </c>
    </row>
    <row r="426" spans="2:12" ht="18">
      <c r="B426" s="85"/>
      <c r="C426" s="126"/>
      <c r="D426" s="90"/>
      <c r="E426" s="129" t="s">
        <v>563</v>
      </c>
      <c r="F426" s="88"/>
      <c r="G426" s="88"/>
      <c r="H426" s="88"/>
      <c r="I426" s="88">
        <v>8.55</v>
      </c>
      <c r="J426" s="88"/>
      <c r="K426" s="88"/>
      <c r="L426" s="89">
        <f t="shared" si="8"/>
        <v>8.55</v>
      </c>
    </row>
    <row r="427" spans="2:12" ht="18">
      <c r="B427" s="85"/>
      <c r="C427" s="126"/>
      <c r="D427" s="90"/>
      <c r="E427" s="129" t="s">
        <v>562</v>
      </c>
      <c r="F427" s="88"/>
      <c r="G427" s="88"/>
      <c r="H427" s="88"/>
      <c r="I427" s="88">
        <v>9.9</v>
      </c>
      <c r="J427" s="88"/>
      <c r="K427" s="88"/>
      <c r="L427" s="89">
        <f t="shared" si="8"/>
        <v>9.9</v>
      </c>
    </row>
    <row r="428" spans="2:12" ht="18">
      <c r="B428" s="85"/>
      <c r="C428" s="126"/>
      <c r="D428" s="90"/>
      <c r="E428" s="129" t="s">
        <v>559</v>
      </c>
      <c r="F428" s="88"/>
      <c r="G428" s="88"/>
      <c r="H428" s="88"/>
      <c r="I428" s="88">
        <v>9.72</v>
      </c>
      <c r="J428" s="88"/>
      <c r="K428" s="88"/>
      <c r="L428" s="89">
        <f t="shared" si="8"/>
        <v>9.72</v>
      </c>
    </row>
    <row r="429" spans="2:12" ht="18">
      <c r="B429" s="85"/>
      <c r="C429" s="126"/>
      <c r="D429" s="90"/>
      <c r="E429" s="129"/>
      <c r="F429" s="88"/>
      <c r="G429" s="88"/>
      <c r="H429" s="88"/>
      <c r="I429" s="88"/>
      <c r="J429" s="88"/>
      <c r="K429" s="88"/>
      <c r="L429" s="99">
        <f>SUM(L398:L428)</f>
        <v>316.15</v>
      </c>
    </row>
    <row r="430" spans="2:12" ht="21" customHeight="1">
      <c r="B430" s="291" t="str">
        <f>Orçamento!B257</f>
        <v>14.5</v>
      </c>
      <c r="C430" s="109" t="str">
        <f>Orçamento!C257</f>
        <v>Soleira em granito l=15cm</v>
      </c>
      <c r="D430" s="82" t="s">
        <v>34</v>
      </c>
      <c r="E430" s="416"/>
      <c r="F430" s="83"/>
      <c r="G430" s="83"/>
      <c r="H430" s="83"/>
      <c r="I430" s="83"/>
      <c r="J430" s="83"/>
      <c r="K430" s="83"/>
      <c r="L430" s="84"/>
    </row>
    <row r="431" spans="2:12" ht="21" customHeight="1">
      <c r="B431" s="293"/>
      <c r="C431" s="126"/>
      <c r="D431" s="90"/>
      <c r="E431" s="129" t="s">
        <v>1059</v>
      </c>
      <c r="F431" s="88">
        <v>1.6</v>
      </c>
      <c r="G431" s="88"/>
      <c r="H431" s="88"/>
      <c r="I431" s="88"/>
      <c r="J431" s="88"/>
      <c r="K431" s="88"/>
      <c r="L431" s="89">
        <f>F431</f>
        <v>1.6</v>
      </c>
    </row>
    <row r="432" spans="2:12" ht="18">
      <c r="B432" s="85"/>
      <c r="C432" s="126"/>
      <c r="D432" s="90"/>
      <c r="E432" s="129" t="s">
        <v>1055</v>
      </c>
      <c r="F432" s="88">
        <v>0.8</v>
      </c>
      <c r="G432" s="88"/>
      <c r="H432" s="88"/>
      <c r="I432" s="88"/>
      <c r="J432" s="88"/>
      <c r="K432" s="88"/>
      <c r="L432" s="89">
        <f aca="true" t="shared" si="9" ref="L432:L456">F432</f>
        <v>0.8</v>
      </c>
    </row>
    <row r="433" spans="2:12" ht="18">
      <c r="B433" s="85"/>
      <c r="C433" s="126"/>
      <c r="D433" s="90"/>
      <c r="E433" s="129" t="s">
        <v>559</v>
      </c>
      <c r="F433" s="88">
        <v>2.2</v>
      </c>
      <c r="G433" s="88"/>
      <c r="H433" s="88"/>
      <c r="I433" s="88"/>
      <c r="J433" s="88"/>
      <c r="K433" s="88"/>
      <c r="L433" s="89">
        <f t="shared" si="9"/>
        <v>2.2</v>
      </c>
    </row>
    <row r="434" spans="2:12" ht="18">
      <c r="B434" s="85"/>
      <c r="C434" s="126"/>
      <c r="D434" s="90"/>
      <c r="E434" s="129" t="s">
        <v>560</v>
      </c>
      <c r="F434" s="88">
        <v>2</v>
      </c>
      <c r="G434" s="88"/>
      <c r="H434" s="88"/>
      <c r="I434" s="88"/>
      <c r="J434" s="88"/>
      <c r="K434" s="88"/>
      <c r="L434" s="89">
        <f t="shared" si="9"/>
        <v>2</v>
      </c>
    </row>
    <row r="435" spans="2:12" ht="18">
      <c r="B435" s="85"/>
      <c r="C435" s="126"/>
      <c r="D435" s="90"/>
      <c r="E435" s="129" t="s">
        <v>561</v>
      </c>
      <c r="F435" s="88">
        <v>2</v>
      </c>
      <c r="G435" s="88"/>
      <c r="H435" s="88"/>
      <c r="I435" s="88"/>
      <c r="J435" s="88"/>
      <c r="K435" s="88"/>
      <c r="L435" s="89">
        <f t="shared" si="9"/>
        <v>2</v>
      </c>
    </row>
    <row r="436" spans="2:12" ht="18">
      <c r="B436" s="85"/>
      <c r="C436" s="126"/>
      <c r="D436" s="90"/>
      <c r="E436" s="129" t="s">
        <v>557</v>
      </c>
      <c r="F436" s="88">
        <v>1.1</v>
      </c>
      <c r="G436" s="88"/>
      <c r="H436" s="88"/>
      <c r="I436" s="88"/>
      <c r="J436" s="88"/>
      <c r="K436" s="88"/>
      <c r="L436" s="89">
        <f t="shared" si="9"/>
        <v>1.1</v>
      </c>
    </row>
    <row r="437" spans="2:12" ht="18">
      <c r="B437" s="85"/>
      <c r="C437" s="126"/>
      <c r="D437" s="90"/>
      <c r="E437" s="129" t="s">
        <v>546</v>
      </c>
      <c r="F437" s="88">
        <v>0.8</v>
      </c>
      <c r="G437" s="88"/>
      <c r="H437" s="88"/>
      <c r="I437" s="88"/>
      <c r="J437" s="88"/>
      <c r="K437" s="88"/>
      <c r="L437" s="89">
        <f t="shared" si="9"/>
        <v>0.8</v>
      </c>
    </row>
    <row r="438" spans="2:12" ht="18">
      <c r="B438" s="85"/>
      <c r="C438" s="126"/>
      <c r="D438" s="90"/>
      <c r="E438" s="129" t="s">
        <v>545</v>
      </c>
      <c r="F438" s="88">
        <v>0.8</v>
      </c>
      <c r="G438" s="88"/>
      <c r="H438" s="88"/>
      <c r="I438" s="88"/>
      <c r="J438" s="88"/>
      <c r="K438" s="88"/>
      <c r="L438" s="89">
        <f t="shared" si="9"/>
        <v>0.8</v>
      </c>
    </row>
    <row r="439" spans="2:12" ht="18">
      <c r="B439" s="85"/>
      <c r="C439" s="126"/>
      <c r="D439" s="90"/>
      <c r="E439" s="129" t="s">
        <v>1056</v>
      </c>
      <c r="F439" s="88">
        <v>1.1</v>
      </c>
      <c r="G439" s="88"/>
      <c r="H439" s="88"/>
      <c r="I439" s="88"/>
      <c r="J439" s="88"/>
      <c r="K439" s="88"/>
      <c r="L439" s="89">
        <f t="shared" si="9"/>
        <v>1.1</v>
      </c>
    </row>
    <row r="440" spans="2:12" ht="18">
      <c r="B440" s="85"/>
      <c r="C440" s="126"/>
      <c r="D440" s="90"/>
      <c r="E440" s="129" t="s">
        <v>61</v>
      </c>
      <c r="F440" s="88">
        <v>0.7</v>
      </c>
      <c r="G440" s="88"/>
      <c r="H440" s="88"/>
      <c r="I440" s="88"/>
      <c r="J440" s="88"/>
      <c r="K440" s="88"/>
      <c r="L440" s="89">
        <f t="shared" si="9"/>
        <v>0.7</v>
      </c>
    </row>
    <row r="441" spans="2:12" ht="18">
      <c r="B441" s="85"/>
      <c r="C441" s="126"/>
      <c r="D441" s="90"/>
      <c r="E441" s="129" t="s">
        <v>91</v>
      </c>
      <c r="F441" s="88">
        <v>1</v>
      </c>
      <c r="G441" s="88"/>
      <c r="H441" s="88"/>
      <c r="I441" s="88"/>
      <c r="J441" s="88"/>
      <c r="K441" s="88"/>
      <c r="L441" s="89">
        <f t="shared" si="9"/>
        <v>1</v>
      </c>
    </row>
    <row r="442" spans="2:12" ht="18">
      <c r="B442" s="85"/>
      <c r="C442" s="126"/>
      <c r="D442" s="90"/>
      <c r="E442" s="129" t="s">
        <v>90</v>
      </c>
      <c r="F442" s="88">
        <v>0.8</v>
      </c>
      <c r="G442" s="88"/>
      <c r="H442" s="88"/>
      <c r="I442" s="88"/>
      <c r="J442" s="88"/>
      <c r="K442" s="88"/>
      <c r="L442" s="89">
        <f t="shared" si="9"/>
        <v>0.8</v>
      </c>
    </row>
    <row r="443" spans="2:12" ht="18">
      <c r="B443" s="85"/>
      <c r="C443" s="126"/>
      <c r="D443" s="90"/>
      <c r="E443" s="129" t="s">
        <v>548</v>
      </c>
      <c r="F443" s="88">
        <v>0.8</v>
      </c>
      <c r="G443" s="88"/>
      <c r="H443" s="88"/>
      <c r="I443" s="88"/>
      <c r="J443" s="88"/>
      <c r="K443" s="88"/>
      <c r="L443" s="89">
        <f t="shared" si="9"/>
        <v>0.8</v>
      </c>
    </row>
    <row r="444" spans="2:12" ht="18">
      <c r="B444" s="85"/>
      <c r="C444" s="126"/>
      <c r="D444" s="90"/>
      <c r="E444" s="129" t="s">
        <v>549</v>
      </c>
      <c r="F444" s="88">
        <v>1.1</v>
      </c>
      <c r="G444" s="88"/>
      <c r="H444" s="88"/>
      <c r="I444" s="88"/>
      <c r="J444" s="88"/>
      <c r="K444" s="88"/>
      <c r="L444" s="89">
        <f t="shared" si="9"/>
        <v>1.1</v>
      </c>
    </row>
    <row r="445" spans="2:12" ht="18">
      <c r="B445" s="85"/>
      <c r="C445" s="126"/>
      <c r="D445" s="90"/>
      <c r="E445" s="129" t="s">
        <v>550</v>
      </c>
      <c r="F445" s="88">
        <v>1.1</v>
      </c>
      <c r="G445" s="88"/>
      <c r="H445" s="88"/>
      <c r="I445" s="88"/>
      <c r="J445" s="88"/>
      <c r="K445" s="88"/>
      <c r="L445" s="89">
        <f t="shared" si="9"/>
        <v>1.1</v>
      </c>
    </row>
    <row r="446" spans="2:12" ht="18">
      <c r="B446" s="85"/>
      <c r="C446" s="126"/>
      <c r="D446" s="90"/>
      <c r="E446" s="129" t="s">
        <v>551</v>
      </c>
      <c r="F446" s="88">
        <v>0.8</v>
      </c>
      <c r="G446" s="88"/>
      <c r="H446" s="88"/>
      <c r="I446" s="88"/>
      <c r="J446" s="88"/>
      <c r="K446" s="88"/>
      <c r="L446" s="89">
        <f t="shared" si="9"/>
        <v>0.8</v>
      </c>
    </row>
    <row r="447" spans="2:12" ht="18">
      <c r="B447" s="85"/>
      <c r="C447" s="126"/>
      <c r="D447" s="90"/>
      <c r="E447" s="129" t="s">
        <v>552</v>
      </c>
      <c r="F447" s="88">
        <v>0.8</v>
      </c>
      <c r="G447" s="88"/>
      <c r="H447" s="88"/>
      <c r="I447" s="88"/>
      <c r="J447" s="88"/>
      <c r="K447" s="88"/>
      <c r="L447" s="89">
        <f t="shared" si="9"/>
        <v>0.8</v>
      </c>
    </row>
    <row r="448" spans="2:12" ht="18">
      <c r="B448" s="85"/>
      <c r="C448" s="126"/>
      <c r="D448" s="90"/>
      <c r="E448" s="129" t="s">
        <v>553</v>
      </c>
      <c r="F448" s="88">
        <v>1.1</v>
      </c>
      <c r="G448" s="88"/>
      <c r="H448" s="88"/>
      <c r="I448" s="88"/>
      <c r="J448" s="88"/>
      <c r="K448" s="88"/>
      <c r="L448" s="89">
        <f t="shared" si="9"/>
        <v>1.1</v>
      </c>
    </row>
    <row r="449" spans="2:12" ht="18">
      <c r="B449" s="85"/>
      <c r="C449" s="126"/>
      <c r="D449" s="90"/>
      <c r="E449" s="129" t="s">
        <v>93</v>
      </c>
      <c r="F449" s="88">
        <v>0.8</v>
      </c>
      <c r="G449" s="88"/>
      <c r="H449" s="88"/>
      <c r="I449" s="88"/>
      <c r="J449" s="88"/>
      <c r="K449" s="88"/>
      <c r="L449" s="89">
        <f t="shared" si="9"/>
        <v>0.8</v>
      </c>
    </row>
    <row r="450" spans="2:12" ht="18">
      <c r="B450" s="85"/>
      <c r="C450" s="126"/>
      <c r="D450" s="90"/>
      <c r="E450" s="129" t="s">
        <v>1057</v>
      </c>
      <c r="F450" s="88">
        <v>0.8</v>
      </c>
      <c r="G450" s="88"/>
      <c r="H450" s="88"/>
      <c r="I450" s="88"/>
      <c r="J450" s="88"/>
      <c r="K450" s="88"/>
      <c r="L450" s="89">
        <f t="shared" si="9"/>
        <v>0.8</v>
      </c>
    </row>
    <row r="451" spans="2:12" ht="18">
      <c r="B451" s="85"/>
      <c r="C451" s="126"/>
      <c r="D451" s="90"/>
      <c r="E451" s="129" t="s">
        <v>1058</v>
      </c>
      <c r="F451" s="88">
        <v>0.6</v>
      </c>
      <c r="G451" s="88"/>
      <c r="H451" s="88"/>
      <c r="I451" s="88"/>
      <c r="J451" s="88"/>
      <c r="K451" s="88"/>
      <c r="L451" s="89">
        <f t="shared" si="9"/>
        <v>0.6</v>
      </c>
    </row>
    <row r="452" spans="2:12" ht="18">
      <c r="B452" s="85"/>
      <c r="C452" s="126"/>
      <c r="D452" s="90"/>
      <c r="E452" s="129" t="s">
        <v>1058</v>
      </c>
      <c r="F452" s="88">
        <v>0.6</v>
      </c>
      <c r="G452" s="88"/>
      <c r="H452" s="88"/>
      <c r="I452" s="88"/>
      <c r="J452" s="88"/>
      <c r="K452" s="88"/>
      <c r="L452" s="89">
        <f t="shared" si="9"/>
        <v>0.6</v>
      </c>
    </row>
    <row r="453" spans="2:12" ht="18">
      <c r="B453" s="85"/>
      <c r="C453" s="126"/>
      <c r="D453" s="90"/>
      <c r="E453" s="129" t="s">
        <v>83</v>
      </c>
      <c r="F453" s="88">
        <v>0.7</v>
      </c>
      <c r="G453" s="88"/>
      <c r="H453" s="88"/>
      <c r="I453" s="88"/>
      <c r="J453" s="88"/>
      <c r="K453" s="88"/>
      <c r="L453" s="89">
        <f t="shared" si="9"/>
        <v>0.7</v>
      </c>
    </row>
    <row r="454" spans="2:12" ht="18">
      <c r="B454" s="85"/>
      <c r="C454" s="126"/>
      <c r="D454" s="90"/>
      <c r="E454" s="129" t="s">
        <v>562</v>
      </c>
      <c r="F454" s="88">
        <v>2</v>
      </c>
      <c r="G454" s="88"/>
      <c r="H454" s="88"/>
      <c r="I454" s="88"/>
      <c r="J454" s="88"/>
      <c r="K454" s="88"/>
      <c r="L454" s="89">
        <f t="shared" si="9"/>
        <v>2</v>
      </c>
    </row>
    <row r="455" spans="2:12" ht="18">
      <c r="B455" s="85"/>
      <c r="C455" s="126"/>
      <c r="D455" s="90"/>
      <c r="E455" s="129" t="s">
        <v>563</v>
      </c>
      <c r="F455" s="88">
        <v>2</v>
      </c>
      <c r="G455" s="88"/>
      <c r="H455" s="88"/>
      <c r="I455" s="88"/>
      <c r="J455" s="88"/>
      <c r="K455" s="88"/>
      <c r="L455" s="89">
        <f t="shared" si="9"/>
        <v>2</v>
      </c>
    </row>
    <row r="456" spans="2:12" ht="18">
      <c r="B456" s="85"/>
      <c r="C456" s="126"/>
      <c r="D456" s="90"/>
      <c r="E456" s="129" t="s">
        <v>564</v>
      </c>
      <c r="F456" s="88">
        <v>2</v>
      </c>
      <c r="G456" s="88"/>
      <c r="H456" s="88"/>
      <c r="I456" s="88"/>
      <c r="J456" s="88"/>
      <c r="K456" s="88"/>
      <c r="L456" s="89">
        <f t="shared" si="9"/>
        <v>2</v>
      </c>
    </row>
    <row r="457" spans="2:12" ht="18">
      <c r="B457" s="85"/>
      <c r="C457" s="126"/>
      <c r="D457" s="90"/>
      <c r="E457" s="129"/>
      <c r="F457" s="88"/>
      <c r="G457" s="88"/>
      <c r="H457" s="88"/>
      <c r="I457" s="88"/>
      <c r="J457" s="88"/>
      <c r="K457" s="88"/>
      <c r="L457" s="99">
        <f>SUM(L431:L456)</f>
        <v>30.100000000000012</v>
      </c>
    </row>
    <row r="458" spans="2:12" ht="18">
      <c r="B458" s="423" t="str">
        <f>Orçamento!B258</f>
        <v>14.7</v>
      </c>
      <c r="C458" s="424" t="str">
        <f>Orçamento!C258</f>
        <v>Interligação com hospital</v>
      </c>
      <c r="D458" s="636"/>
      <c r="E458" s="637"/>
      <c r="F458" s="431"/>
      <c r="G458" s="431"/>
      <c r="H458" s="431"/>
      <c r="I458" s="431"/>
      <c r="J458" s="431"/>
      <c r="K458" s="431"/>
      <c r="L458" s="427"/>
    </row>
    <row r="459" spans="2:12" ht="54">
      <c r="B459" s="291" t="str">
        <f>Orçamento!B259</f>
        <v>14.7.1</v>
      </c>
      <c r="C459" s="109" t="str">
        <f>Orçamento!C259</f>
        <v>Contrapiso em argamassa traco 1:4 (cimento e areia), espessura 7cm, preparo manual</v>
      </c>
      <c r="D459" s="82" t="s">
        <v>763</v>
      </c>
      <c r="E459" s="416"/>
      <c r="F459" s="83"/>
      <c r="G459" s="83"/>
      <c r="H459" s="83"/>
      <c r="I459" s="83"/>
      <c r="J459" s="83"/>
      <c r="K459" s="83"/>
      <c r="L459" s="84"/>
    </row>
    <row r="460" spans="2:12" ht="18">
      <c r="B460" s="293"/>
      <c r="C460" s="126"/>
      <c r="D460" s="90"/>
      <c r="E460" s="129" t="s">
        <v>767</v>
      </c>
      <c r="F460" s="88"/>
      <c r="G460" s="88"/>
      <c r="H460" s="88">
        <v>0.07</v>
      </c>
      <c r="I460" s="88">
        <v>87.18</v>
      </c>
      <c r="J460" s="88">
        <f>H460*I460</f>
        <v>6.102600000000001</v>
      </c>
      <c r="K460" s="88"/>
      <c r="L460" s="89">
        <f>J460</f>
        <v>6.102600000000001</v>
      </c>
    </row>
    <row r="461" spans="2:12" ht="18">
      <c r="B461" s="417"/>
      <c r="C461" s="113"/>
      <c r="D461" s="96"/>
      <c r="E461" s="382"/>
      <c r="F461" s="95"/>
      <c r="G461" s="95"/>
      <c r="H461" s="95"/>
      <c r="I461" s="95"/>
      <c r="J461" s="95"/>
      <c r="K461" s="95"/>
      <c r="L461" s="97">
        <f>SUM(L460)</f>
        <v>6.102600000000001</v>
      </c>
    </row>
    <row r="462" spans="2:12" ht="54">
      <c r="B462" s="291" t="str">
        <f>Orçamento!B260</f>
        <v>14.7.2</v>
      </c>
      <c r="C462" s="109" t="str">
        <f>Orçamento!C260</f>
        <v>Regularizacao de piso/base em argamassa traco 1:3 (cimento e areia), espessura 2,0cm, preparo manual</v>
      </c>
      <c r="D462" s="82" t="s">
        <v>39</v>
      </c>
      <c r="E462" s="416"/>
      <c r="F462" s="83"/>
      <c r="G462" s="83"/>
      <c r="H462" s="83"/>
      <c r="I462" s="83"/>
      <c r="J462" s="83"/>
      <c r="K462" s="83"/>
      <c r="L462" s="84"/>
    </row>
    <row r="463" spans="2:12" ht="18">
      <c r="B463" s="293"/>
      <c r="C463" s="126"/>
      <c r="D463" s="90"/>
      <c r="E463" s="129" t="s">
        <v>767</v>
      </c>
      <c r="F463" s="88"/>
      <c r="G463" s="88"/>
      <c r="H463" s="88"/>
      <c r="I463" s="88">
        <v>87.18</v>
      </c>
      <c r="J463" s="88"/>
      <c r="K463" s="88"/>
      <c r="L463" s="89">
        <f>I463</f>
        <v>87.18</v>
      </c>
    </row>
    <row r="464" spans="2:12" ht="18">
      <c r="B464" s="417"/>
      <c r="C464" s="113"/>
      <c r="D464" s="96"/>
      <c r="E464" s="382"/>
      <c r="F464" s="95"/>
      <c r="G464" s="95"/>
      <c r="H464" s="95"/>
      <c r="I464" s="95"/>
      <c r="J464" s="95"/>
      <c r="K464" s="95"/>
      <c r="L464" s="97">
        <f>SUM(L463)</f>
        <v>87.18</v>
      </c>
    </row>
    <row r="465" spans="2:12" ht="54">
      <c r="B465" s="291" t="str">
        <f>Orçamento!B261</f>
        <v>14.7.3</v>
      </c>
      <c r="C465" s="109" t="str">
        <f>Orçamento!C261</f>
        <v>Revestimento porcelanato retificado, aplicado com argamassa industrializada, rejuntado c/epoxi, junta máxima de 2mm</v>
      </c>
      <c r="D465" s="82" t="s">
        <v>39</v>
      </c>
      <c r="E465" s="416"/>
      <c r="F465" s="83"/>
      <c r="G465" s="83"/>
      <c r="H465" s="83"/>
      <c r="I465" s="83"/>
      <c r="J465" s="83"/>
      <c r="K465" s="83"/>
      <c r="L465" s="84"/>
    </row>
    <row r="466" spans="2:12" ht="18">
      <c r="B466" s="293"/>
      <c r="C466" s="126"/>
      <c r="D466" s="90"/>
      <c r="E466" s="129" t="s">
        <v>767</v>
      </c>
      <c r="F466" s="88"/>
      <c r="G466" s="88"/>
      <c r="H466" s="88"/>
      <c r="I466" s="88">
        <v>87.18</v>
      </c>
      <c r="J466" s="88"/>
      <c r="K466" s="88"/>
      <c r="L466" s="89">
        <f>I466</f>
        <v>87.18</v>
      </c>
    </row>
    <row r="467" spans="2:12" ht="18">
      <c r="B467" s="417"/>
      <c r="C467" s="113"/>
      <c r="D467" s="96"/>
      <c r="E467" s="382"/>
      <c r="F467" s="95"/>
      <c r="G467" s="95"/>
      <c r="H467" s="95"/>
      <c r="I467" s="95"/>
      <c r="J467" s="95"/>
      <c r="K467" s="95"/>
      <c r="L467" s="97">
        <f>SUM(L466)</f>
        <v>87.18</v>
      </c>
    </row>
    <row r="468" spans="2:12" ht="18">
      <c r="B468" s="293" t="str">
        <f>Orçamento!B262</f>
        <v>14.7.4</v>
      </c>
      <c r="C468" s="126" t="str">
        <f>Orçamento!C262</f>
        <v>Rodapes de porcelanato retificado 10 cm</v>
      </c>
      <c r="D468" s="82" t="s">
        <v>39</v>
      </c>
      <c r="E468" s="129"/>
      <c r="F468" s="88"/>
      <c r="G468" s="88"/>
      <c r="H468" s="88"/>
      <c r="I468" s="88"/>
      <c r="J468" s="88"/>
      <c r="K468" s="88"/>
      <c r="L468" s="99"/>
    </row>
    <row r="469" spans="2:12" ht="18">
      <c r="B469" s="85"/>
      <c r="C469" s="126"/>
      <c r="D469" s="90"/>
      <c r="E469" s="129" t="s">
        <v>767</v>
      </c>
      <c r="F469" s="88">
        <v>82</v>
      </c>
      <c r="G469" s="88"/>
      <c r="H469" s="88">
        <v>0.15</v>
      </c>
      <c r="I469" s="88">
        <f>F469*H469</f>
        <v>12.299999999999999</v>
      </c>
      <c r="J469" s="88"/>
      <c r="K469" s="88"/>
      <c r="L469" s="89">
        <f>I469</f>
        <v>12.299999999999999</v>
      </c>
    </row>
    <row r="470" spans="2:12" ht="18">
      <c r="B470" s="85"/>
      <c r="C470" s="126"/>
      <c r="D470" s="90"/>
      <c r="E470" s="129"/>
      <c r="F470" s="88"/>
      <c r="G470" s="88"/>
      <c r="H470" s="88"/>
      <c r="I470" s="88"/>
      <c r="J470" s="88"/>
      <c r="K470" s="88"/>
      <c r="L470" s="99">
        <f>SUM(L469)</f>
        <v>12.299999999999999</v>
      </c>
    </row>
    <row r="471" spans="2:12" ht="90">
      <c r="B471" s="79" t="str">
        <f>Orçamento!B263</f>
        <v>14.7.5</v>
      </c>
      <c r="C471" s="109" t="str">
        <f>Orçamento!C263</f>
        <v>Execução de calçada em concreto (cimento/areia/seixo rolado), preparo mecânico, espessura 7cm, com junta de dilatação em madeira, incluso lançamento e adensamento</v>
      </c>
      <c r="D471" s="82" t="s">
        <v>39</v>
      </c>
      <c r="E471" s="416"/>
      <c r="F471" s="83"/>
      <c r="G471" s="83"/>
      <c r="H471" s="83"/>
      <c r="I471" s="83"/>
      <c r="J471" s="83"/>
      <c r="K471" s="83"/>
      <c r="L471" s="84"/>
    </row>
    <row r="472" spans="2:12" ht="18">
      <c r="B472" s="85"/>
      <c r="C472" s="126"/>
      <c r="D472" s="90"/>
      <c r="E472" s="129" t="s">
        <v>1173</v>
      </c>
      <c r="F472" s="88"/>
      <c r="G472" s="88"/>
      <c r="H472" s="88"/>
      <c r="I472" s="88">
        <v>28.28</v>
      </c>
      <c r="J472" s="88"/>
      <c r="K472" s="88"/>
      <c r="L472" s="89">
        <f>I472</f>
        <v>28.28</v>
      </c>
    </row>
    <row r="473" spans="2:12" ht="18">
      <c r="B473" s="85"/>
      <c r="C473" s="126"/>
      <c r="D473" s="90"/>
      <c r="E473" s="129"/>
      <c r="F473" s="88"/>
      <c r="G473" s="88"/>
      <c r="H473" s="88"/>
      <c r="I473" s="88"/>
      <c r="J473" s="88"/>
      <c r="K473" s="88"/>
      <c r="L473" s="99">
        <f>SUM(L472)</f>
        <v>28.28</v>
      </c>
    </row>
    <row r="474" spans="2:12" ht="18">
      <c r="B474" s="376" t="str">
        <f>Orçamento!B264</f>
        <v>15.00</v>
      </c>
      <c r="C474" s="75" t="str">
        <f>Orçamento!C264</f>
        <v>VIDROS</v>
      </c>
      <c r="D474" s="75"/>
      <c r="E474" s="76"/>
      <c r="F474" s="77"/>
      <c r="G474" s="77"/>
      <c r="H474" s="77"/>
      <c r="I474" s="77"/>
      <c r="J474" s="77"/>
      <c r="K474" s="77"/>
      <c r="L474" s="78"/>
    </row>
    <row r="475" spans="2:12" ht="36">
      <c r="B475" s="130" t="str">
        <f>Orçamento!B265</f>
        <v>15.1</v>
      </c>
      <c r="C475" s="126" t="str">
        <f>Orçamento!C265</f>
        <v>Vidro temperado incolor, espessura 6mm, fornecimento e instalacao</v>
      </c>
      <c r="D475" s="90" t="s">
        <v>39</v>
      </c>
      <c r="E475" s="192"/>
      <c r="F475" s="131"/>
      <c r="G475" s="131"/>
      <c r="H475" s="131"/>
      <c r="I475" s="131"/>
      <c r="J475" s="131"/>
      <c r="K475" s="131"/>
      <c r="L475" s="273"/>
    </row>
    <row r="476" spans="2:12" ht="18">
      <c r="B476" s="130"/>
      <c r="C476" s="126"/>
      <c r="D476" s="90"/>
      <c r="E476" s="126" t="str">
        <f>C170</f>
        <v>Janela em alumínio, cor branco, de correr</v>
      </c>
      <c r="F476" s="131"/>
      <c r="G476" s="131"/>
      <c r="H476" s="131"/>
      <c r="I476" s="688">
        <f>L175</f>
        <v>9.49</v>
      </c>
      <c r="J476" s="131"/>
      <c r="K476" s="131"/>
      <c r="L476" s="89">
        <f>I476</f>
        <v>9.49</v>
      </c>
    </row>
    <row r="477" spans="2:12" ht="18">
      <c r="B477" s="130"/>
      <c r="C477" s="126"/>
      <c r="D477" s="90"/>
      <c r="E477" s="126" t="str">
        <f>C176</f>
        <v>Janela em alumínio, cor branco, maximar</v>
      </c>
      <c r="F477" s="131"/>
      <c r="G477" s="131"/>
      <c r="H477" s="131"/>
      <c r="I477" s="688">
        <f>L180</f>
        <v>5.26</v>
      </c>
      <c r="J477" s="131"/>
      <c r="K477" s="131"/>
      <c r="L477" s="89">
        <f>I477</f>
        <v>5.26</v>
      </c>
    </row>
    <row r="478" spans="2:12" ht="36">
      <c r="B478" s="130"/>
      <c r="C478" s="126"/>
      <c r="D478" s="90"/>
      <c r="E478" s="126" t="str">
        <f>C185</f>
        <v>Porta em aluminio, cor branco, de correr ou abrir, completa, exclusive vidros</v>
      </c>
      <c r="F478" s="131"/>
      <c r="G478" s="131"/>
      <c r="H478" s="131"/>
      <c r="I478" s="688">
        <f>L189</f>
        <v>29.62</v>
      </c>
      <c r="J478" s="131"/>
      <c r="K478" s="131"/>
      <c r="L478" s="89">
        <f>I478</f>
        <v>29.62</v>
      </c>
    </row>
    <row r="479" spans="2:12" ht="18">
      <c r="B479" s="150"/>
      <c r="C479" s="116"/>
      <c r="D479" s="116"/>
      <c r="E479" s="125"/>
      <c r="F479" s="114"/>
      <c r="G479" s="114"/>
      <c r="H479" s="114"/>
      <c r="I479" s="114"/>
      <c r="J479" s="114"/>
      <c r="K479" s="114"/>
      <c r="L479" s="97">
        <f>SUM(L476:L478)</f>
        <v>44.370000000000005</v>
      </c>
    </row>
    <row r="480" spans="2:12" ht="36">
      <c r="B480" s="130" t="str">
        <f>Orçamento!B266</f>
        <v>15.2</v>
      </c>
      <c r="C480" s="126" t="str">
        <f>Orçamento!C266</f>
        <v>Vidro temperado incolor, espessura 10mm, fornecimento e instalacao</v>
      </c>
      <c r="D480" s="82" t="s">
        <v>39</v>
      </c>
      <c r="E480" s="192"/>
      <c r="F480" s="131"/>
      <c r="G480" s="131"/>
      <c r="H480" s="131"/>
      <c r="I480" s="131"/>
      <c r="J480" s="131"/>
      <c r="K480" s="131"/>
      <c r="L480" s="273"/>
    </row>
    <row r="481" spans="2:12" ht="18">
      <c r="B481" s="133"/>
      <c r="C481" s="132"/>
      <c r="D481" s="132"/>
      <c r="E481" s="126" t="s">
        <v>1072</v>
      </c>
      <c r="F481" s="131"/>
      <c r="G481" s="140">
        <v>2.65</v>
      </c>
      <c r="H481" s="140">
        <v>1</v>
      </c>
      <c r="I481" s="140">
        <f>G481*H481</f>
        <v>2.65</v>
      </c>
      <c r="J481" s="131"/>
      <c r="K481" s="140"/>
      <c r="L481" s="437">
        <f>I481</f>
        <v>2.65</v>
      </c>
    </row>
    <row r="482" spans="2:12" ht="18">
      <c r="B482" s="133"/>
      <c r="C482" s="132"/>
      <c r="D482" s="132"/>
      <c r="E482" s="126" t="s">
        <v>1073</v>
      </c>
      <c r="F482" s="131"/>
      <c r="G482" s="140">
        <v>1.1</v>
      </c>
      <c r="H482" s="140">
        <v>1</v>
      </c>
      <c r="I482" s="140">
        <f>G482*H482</f>
        <v>1.1</v>
      </c>
      <c r="J482" s="131"/>
      <c r="K482" s="131"/>
      <c r="L482" s="437">
        <f>I482</f>
        <v>1.1</v>
      </c>
    </row>
    <row r="483" spans="2:12" ht="18">
      <c r="B483" s="133"/>
      <c r="C483" s="132"/>
      <c r="D483" s="132"/>
      <c r="E483" s="192"/>
      <c r="F483" s="131"/>
      <c r="G483" s="131"/>
      <c r="H483" s="131"/>
      <c r="I483" s="131"/>
      <c r="J483" s="131"/>
      <c r="K483" s="131"/>
      <c r="L483" s="281">
        <f>SUM(L481:L482)</f>
        <v>3.75</v>
      </c>
    </row>
    <row r="484" spans="2:12" ht="18">
      <c r="B484" s="689" t="str">
        <f>Orçamento!B267</f>
        <v>15.3</v>
      </c>
      <c r="C484" s="635" t="str">
        <f>Orçamento!C267</f>
        <v>Interligação com hospital</v>
      </c>
      <c r="D484" s="636"/>
      <c r="E484" s="637"/>
      <c r="F484" s="431"/>
      <c r="G484" s="431"/>
      <c r="H484" s="431"/>
      <c r="I484" s="431"/>
      <c r="J484" s="431"/>
      <c r="K484" s="431"/>
      <c r="L484" s="427"/>
    </row>
    <row r="485" spans="2:12" ht="36">
      <c r="B485" s="130" t="str">
        <f>Orçamento!B268</f>
        <v>15.3.1</v>
      </c>
      <c r="C485" s="126" t="str">
        <f>Orçamento!C268</f>
        <v>Vidro temperado incolor, espessura 6mm, fornecimento e instalacao</v>
      </c>
      <c r="D485" s="82" t="s">
        <v>39</v>
      </c>
      <c r="E485" s="129"/>
      <c r="F485" s="88"/>
      <c r="G485" s="88"/>
      <c r="H485" s="88"/>
      <c r="I485" s="88"/>
      <c r="J485" s="88"/>
      <c r="K485" s="88"/>
      <c r="L485" s="99"/>
    </row>
    <row r="486" spans="2:12" ht="18">
      <c r="B486" s="293"/>
      <c r="C486" s="126"/>
      <c r="D486" s="90"/>
      <c r="E486" s="102" t="s">
        <v>931</v>
      </c>
      <c r="F486" s="102"/>
      <c r="G486" s="140">
        <v>1.35</v>
      </c>
      <c r="H486" s="88">
        <v>1.1</v>
      </c>
      <c r="I486" s="140">
        <f>G486*H486</f>
        <v>1.4850000000000003</v>
      </c>
      <c r="J486" s="102"/>
      <c r="K486" s="140">
        <v>14</v>
      </c>
      <c r="L486" s="89">
        <f>I486*K486</f>
        <v>20.790000000000006</v>
      </c>
    </row>
    <row r="487" spans="2:12" ht="18">
      <c r="B487" s="293"/>
      <c r="C487" s="126"/>
      <c r="D487" s="90"/>
      <c r="E487" s="102" t="s">
        <v>1123</v>
      </c>
      <c r="F487" s="102"/>
      <c r="G487" s="140">
        <v>1.6</v>
      </c>
      <c r="H487" s="88">
        <v>2.1</v>
      </c>
      <c r="I487" s="140">
        <f>G487*H487</f>
        <v>3.3600000000000003</v>
      </c>
      <c r="J487" s="102"/>
      <c r="K487" s="140">
        <v>2</v>
      </c>
      <c r="L487" s="89">
        <f>I487*K487</f>
        <v>6.720000000000001</v>
      </c>
    </row>
    <row r="488" spans="2:12" ht="18">
      <c r="B488" s="293"/>
      <c r="C488" s="126"/>
      <c r="D488" s="90"/>
      <c r="E488" s="102"/>
      <c r="F488" s="102"/>
      <c r="G488" s="88"/>
      <c r="H488" s="88"/>
      <c r="I488" s="88"/>
      <c r="J488" s="102"/>
      <c r="K488" s="102"/>
      <c r="L488" s="99">
        <f>SUM(L486)</f>
        <v>20.790000000000006</v>
      </c>
    </row>
    <row r="489" spans="2:12" ht="18" customHeight="1">
      <c r="B489" s="103" t="str">
        <f>Orçamento!B269</f>
        <v>16.00</v>
      </c>
      <c r="C489" s="104" t="str">
        <f>Orçamento!C269</f>
        <v>PINTURA</v>
      </c>
      <c r="D489" s="104"/>
      <c r="E489" s="105"/>
      <c r="F489" s="106"/>
      <c r="G489" s="106"/>
      <c r="H489" s="106"/>
      <c r="I489" s="106"/>
      <c r="J489" s="106"/>
      <c r="K489" s="106"/>
      <c r="L489" s="107"/>
    </row>
    <row r="490" spans="2:12" ht="18" customHeight="1">
      <c r="B490" s="108" t="str">
        <f>Orçamento!B270</f>
        <v>16.1</v>
      </c>
      <c r="C490" s="109" t="str">
        <f>Orçamento!C270</f>
        <v>Fundo selador acrílico, uma demão</v>
      </c>
      <c r="D490" s="82" t="s">
        <v>39</v>
      </c>
      <c r="E490" s="110"/>
      <c r="F490" s="111"/>
      <c r="G490" s="111"/>
      <c r="H490" s="111"/>
      <c r="I490" s="111"/>
      <c r="J490" s="111"/>
      <c r="K490" s="111"/>
      <c r="L490" s="112"/>
    </row>
    <row r="491" spans="2:12" ht="18" customHeight="1">
      <c r="B491" s="133"/>
      <c r="C491" s="126"/>
      <c r="D491" s="90"/>
      <c r="E491" s="144" t="s">
        <v>62</v>
      </c>
      <c r="F491" s="102"/>
      <c r="G491" s="102"/>
      <c r="H491" s="102"/>
      <c r="I491" s="102"/>
      <c r="J491" s="102"/>
      <c r="K491" s="102"/>
      <c r="L491" s="128"/>
    </row>
    <row r="492" spans="2:12" ht="18" customHeight="1">
      <c r="B492" s="133"/>
      <c r="C492" s="126"/>
      <c r="D492" s="90"/>
      <c r="E492" s="98" t="s">
        <v>544</v>
      </c>
      <c r="F492" s="140">
        <v>18.7</v>
      </c>
      <c r="G492" s="102"/>
      <c r="H492" s="140">
        <v>3</v>
      </c>
      <c r="I492" s="140">
        <f>F492*H492</f>
        <v>56.099999999999994</v>
      </c>
      <c r="J492" s="102"/>
      <c r="K492" s="88"/>
      <c r="L492" s="89">
        <f aca="true" t="shared" si="10" ref="L492:L513">I492</f>
        <v>56.099999999999994</v>
      </c>
    </row>
    <row r="493" spans="2:12" ht="18" customHeight="1">
      <c r="B493" s="133"/>
      <c r="C493" s="126"/>
      <c r="D493" s="90"/>
      <c r="E493" s="129" t="s">
        <v>92</v>
      </c>
      <c r="F493" s="140">
        <v>8.8</v>
      </c>
      <c r="G493" s="102"/>
      <c r="H493" s="140">
        <f>3-2.1</f>
        <v>0.8999999999999999</v>
      </c>
      <c r="I493" s="140">
        <f>F493*H493</f>
        <v>7.92</v>
      </c>
      <c r="J493" s="102"/>
      <c r="K493" s="88"/>
      <c r="L493" s="89">
        <f t="shared" si="10"/>
        <v>7.92</v>
      </c>
    </row>
    <row r="494" spans="2:12" ht="18" customHeight="1">
      <c r="B494" s="133"/>
      <c r="C494" s="126"/>
      <c r="D494" s="90"/>
      <c r="E494" s="98" t="s">
        <v>556</v>
      </c>
      <c r="F494" s="140">
        <v>63.6</v>
      </c>
      <c r="G494" s="102"/>
      <c r="H494" s="140">
        <v>3</v>
      </c>
      <c r="I494" s="140">
        <f aca="true" t="shared" si="11" ref="I494:I513">F494*H494</f>
        <v>190.8</v>
      </c>
      <c r="J494" s="102"/>
      <c r="K494" s="88"/>
      <c r="L494" s="89">
        <f t="shared" si="10"/>
        <v>190.8</v>
      </c>
    </row>
    <row r="495" spans="2:12" ht="18" customHeight="1">
      <c r="B495" s="133"/>
      <c r="C495" s="126"/>
      <c r="D495" s="90"/>
      <c r="E495" s="98" t="s">
        <v>566</v>
      </c>
      <c r="F495" s="140">
        <v>9.9</v>
      </c>
      <c r="G495" s="102"/>
      <c r="H495" s="140">
        <f>3-2.1</f>
        <v>0.8999999999999999</v>
      </c>
      <c r="I495" s="140">
        <f t="shared" si="11"/>
        <v>8.91</v>
      </c>
      <c r="J495" s="102"/>
      <c r="K495" s="88"/>
      <c r="L495" s="89">
        <f t="shared" si="10"/>
        <v>8.91</v>
      </c>
    </row>
    <row r="496" spans="2:12" ht="18" customHeight="1">
      <c r="B496" s="133"/>
      <c r="C496" s="126"/>
      <c r="D496" s="90"/>
      <c r="E496" s="98" t="s">
        <v>557</v>
      </c>
      <c r="F496" s="140">
        <v>15.4</v>
      </c>
      <c r="G496" s="102"/>
      <c r="H496" s="140">
        <v>3</v>
      </c>
      <c r="I496" s="140">
        <f t="shared" si="11"/>
        <v>46.2</v>
      </c>
      <c r="J496" s="102"/>
      <c r="K496" s="88"/>
      <c r="L496" s="89">
        <f t="shared" si="10"/>
        <v>46.2</v>
      </c>
    </row>
    <row r="497" spans="2:12" ht="18" customHeight="1">
      <c r="B497" s="133"/>
      <c r="C497" s="126"/>
      <c r="D497" s="90"/>
      <c r="E497" s="98" t="s">
        <v>545</v>
      </c>
      <c r="F497" s="140">
        <v>8.8</v>
      </c>
      <c r="G497" s="102"/>
      <c r="H497" s="140">
        <f>3-2.1</f>
        <v>0.8999999999999999</v>
      </c>
      <c r="I497" s="140">
        <f t="shared" si="11"/>
        <v>7.92</v>
      </c>
      <c r="J497" s="102"/>
      <c r="K497" s="88"/>
      <c r="L497" s="89">
        <f t="shared" si="10"/>
        <v>7.92</v>
      </c>
    </row>
    <row r="498" spans="2:12" ht="18" customHeight="1">
      <c r="B498" s="133"/>
      <c r="C498" s="126"/>
      <c r="D498" s="90"/>
      <c r="E498" s="98" t="s">
        <v>546</v>
      </c>
      <c r="F498" s="140">
        <v>8.8</v>
      </c>
      <c r="G498" s="88"/>
      <c r="H498" s="140">
        <f>3-2.1</f>
        <v>0.8999999999999999</v>
      </c>
      <c r="I498" s="140">
        <f t="shared" si="11"/>
        <v>7.92</v>
      </c>
      <c r="J498" s="102"/>
      <c r="K498" s="88"/>
      <c r="L498" s="89">
        <f t="shared" si="10"/>
        <v>7.92</v>
      </c>
    </row>
    <row r="499" spans="2:12" ht="18" customHeight="1">
      <c r="B499" s="133"/>
      <c r="C499" s="126"/>
      <c r="D499" s="90"/>
      <c r="E499" s="98" t="s">
        <v>547</v>
      </c>
      <c r="F499" s="88">
        <v>17.6</v>
      </c>
      <c r="G499" s="88"/>
      <c r="H499" s="140">
        <v>3</v>
      </c>
      <c r="I499" s="140">
        <f t="shared" si="11"/>
        <v>52.800000000000004</v>
      </c>
      <c r="J499" s="102"/>
      <c r="K499" s="88"/>
      <c r="L499" s="89">
        <f t="shared" si="10"/>
        <v>52.800000000000004</v>
      </c>
    </row>
    <row r="500" spans="2:12" ht="18" customHeight="1">
      <c r="B500" s="133"/>
      <c r="C500" s="126"/>
      <c r="D500" s="90"/>
      <c r="E500" s="98" t="s">
        <v>61</v>
      </c>
      <c r="F500" s="88">
        <v>11.3</v>
      </c>
      <c r="G500" s="88"/>
      <c r="H500" s="140">
        <v>3</v>
      </c>
      <c r="I500" s="140">
        <f t="shared" si="11"/>
        <v>33.900000000000006</v>
      </c>
      <c r="J500" s="102"/>
      <c r="K500" s="88"/>
      <c r="L500" s="89">
        <f t="shared" si="10"/>
        <v>33.900000000000006</v>
      </c>
    </row>
    <row r="501" spans="2:12" ht="18" customHeight="1">
      <c r="B501" s="133"/>
      <c r="C501" s="126"/>
      <c r="D501" s="90"/>
      <c r="E501" s="98" t="s">
        <v>91</v>
      </c>
      <c r="F501" s="88">
        <v>14.1</v>
      </c>
      <c r="G501" s="88"/>
      <c r="H501" s="140">
        <v>3</v>
      </c>
      <c r="I501" s="140">
        <f t="shared" si="11"/>
        <v>42.3</v>
      </c>
      <c r="J501" s="102"/>
      <c r="K501" s="88"/>
      <c r="L501" s="89">
        <f t="shared" si="10"/>
        <v>42.3</v>
      </c>
    </row>
    <row r="502" spans="2:12" ht="18" customHeight="1">
      <c r="B502" s="133"/>
      <c r="C502" s="126"/>
      <c r="D502" s="90"/>
      <c r="E502" s="98" t="s">
        <v>90</v>
      </c>
      <c r="F502" s="88">
        <v>6.6</v>
      </c>
      <c r="G502" s="88"/>
      <c r="H502" s="140">
        <f>3-2.1</f>
        <v>0.8999999999999999</v>
      </c>
      <c r="I502" s="140">
        <f t="shared" si="11"/>
        <v>5.9399999999999995</v>
      </c>
      <c r="J502" s="102"/>
      <c r="K502" s="88"/>
      <c r="L502" s="89">
        <f t="shared" si="10"/>
        <v>5.9399999999999995</v>
      </c>
    </row>
    <row r="503" spans="2:12" ht="18" customHeight="1">
      <c r="B503" s="133"/>
      <c r="C503" s="126"/>
      <c r="D503" s="90"/>
      <c r="E503" s="98" t="s">
        <v>548</v>
      </c>
      <c r="F503" s="88">
        <v>9.3</v>
      </c>
      <c r="G503" s="88"/>
      <c r="H503" s="140">
        <f>3-2.1</f>
        <v>0.8999999999999999</v>
      </c>
      <c r="I503" s="140">
        <f t="shared" si="11"/>
        <v>8.37</v>
      </c>
      <c r="J503" s="102"/>
      <c r="K503" s="88"/>
      <c r="L503" s="89">
        <f t="shared" si="10"/>
        <v>8.37</v>
      </c>
    </row>
    <row r="504" spans="2:12" ht="18" customHeight="1">
      <c r="B504" s="133"/>
      <c r="C504" s="126"/>
      <c r="D504" s="90"/>
      <c r="E504" s="190" t="s">
        <v>549</v>
      </c>
      <c r="F504" s="88">
        <v>15.4</v>
      </c>
      <c r="G504" s="88"/>
      <c r="H504" s="140">
        <v>3</v>
      </c>
      <c r="I504" s="140">
        <f t="shared" si="11"/>
        <v>46.2</v>
      </c>
      <c r="J504" s="102"/>
      <c r="K504" s="88"/>
      <c r="L504" s="89">
        <f t="shared" si="10"/>
        <v>46.2</v>
      </c>
    </row>
    <row r="505" spans="2:12" ht="18" customHeight="1">
      <c r="B505" s="133"/>
      <c r="C505" s="126"/>
      <c r="D505" s="90"/>
      <c r="E505" s="98" t="s">
        <v>550</v>
      </c>
      <c r="F505" s="88">
        <v>15.4</v>
      </c>
      <c r="G505" s="88"/>
      <c r="H505" s="140">
        <v>3</v>
      </c>
      <c r="I505" s="140">
        <f t="shared" si="11"/>
        <v>46.2</v>
      </c>
      <c r="J505" s="102"/>
      <c r="K505" s="88"/>
      <c r="L505" s="89">
        <f t="shared" si="10"/>
        <v>46.2</v>
      </c>
    </row>
    <row r="506" spans="2:12" ht="18" customHeight="1">
      <c r="B506" s="133"/>
      <c r="C506" s="126"/>
      <c r="D506" s="90"/>
      <c r="E506" s="98" t="s">
        <v>551</v>
      </c>
      <c r="F506" s="88">
        <v>8.9</v>
      </c>
      <c r="G506" s="88"/>
      <c r="H506" s="140">
        <f>3-2.1</f>
        <v>0.8999999999999999</v>
      </c>
      <c r="I506" s="140">
        <f t="shared" si="11"/>
        <v>8.01</v>
      </c>
      <c r="J506" s="102"/>
      <c r="K506" s="88"/>
      <c r="L506" s="89">
        <f t="shared" si="10"/>
        <v>8.01</v>
      </c>
    </row>
    <row r="507" spans="2:12" ht="18" customHeight="1">
      <c r="B507" s="133"/>
      <c r="C507" s="126"/>
      <c r="D507" s="90"/>
      <c r="E507" s="98" t="s">
        <v>552</v>
      </c>
      <c r="F507" s="88">
        <v>8.8</v>
      </c>
      <c r="G507" s="88"/>
      <c r="H507" s="140">
        <f>3-2.1</f>
        <v>0.8999999999999999</v>
      </c>
      <c r="I507" s="140">
        <f t="shared" si="11"/>
        <v>7.92</v>
      </c>
      <c r="J507" s="102"/>
      <c r="K507" s="88"/>
      <c r="L507" s="89">
        <f t="shared" si="10"/>
        <v>7.92</v>
      </c>
    </row>
    <row r="508" spans="2:12" ht="18" customHeight="1">
      <c r="B508" s="133"/>
      <c r="C508" s="126"/>
      <c r="D508" s="90"/>
      <c r="E508" s="98" t="s">
        <v>553</v>
      </c>
      <c r="F508" s="88">
        <v>15.5</v>
      </c>
      <c r="G508" s="88"/>
      <c r="H508" s="140">
        <v>3</v>
      </c>
      <c r="I508" s="140">
        <f t="shared" si="11"/>
        <v>46.5</v>
      </c>
      <c r="J508" s="102"/>
      <c r="K508" s="88"/>
      <c r="L508" s="89">
        <f t="shared" si="10"/>
        <v>46.5</v>
      </c>
    </row>
    <row r="509" spans="2:12" ht="18" customHeight="1">
      <c r="B509" s="133"/>
      <c r="C509" s="126"/>
      <c r="D509" s="90"/>
      <c r="E509" s="98" t="s">
        <v>93</v>
      </c>
      <c r="F509" s="88">
        <v>13.8</v>
      </c>
      <c r="G509" s="88"/>
      <c r="H509" s="140">
        <v>3</v>
      </c>
      <c r="I509" s="140">
        <f t="shared" si="11"/>
        <v>41.400000000000006</v>
      </c>
      <c r="J509" s="102"/>
      <c r="K509" s="88"/>
      <c r="L509" s="89">
        <f t="shared" si="10"/>
        <v>41.400000000000006</v>
      </c>
    </row>
    <row r="510" spans="2:12" ht="18" customHeight="1">
      <c r="B510" s="133"/>
      <c r="C510" s="126"/>
      <c r="D510" s="90"/>
      <c r="E510" s="98" t="s">
        <v>554</v>
      </c>
      <c r="F510" s="88">
        <v>7.9</v>
      </c>
      <c r="G510" s="88"/>
      <c r="H510" s="140">
        <v>3</v>
      </c>
      <c r="I510" s="140">
        <f t="shared" si="11"/>
        <v>23.700000000000003</v>
      </c>
      <c r="J510" s="102"/>
      <c r="K510" s="88"/>
      <c r="L510" s="89">
        <f t="shared" si="10"/>
        <v>23.700000000000003</v>
      </c>
    </row>
    <row r="511" spans="2:12" ht="18" customHeight="1">
      <c r="B511" s="133"/>
      <c r="C511" s="126"/>
      <c r="D511" s="90"/>
      <c r="E511" s="98" t="s">
        <v>555</v>
      </c>
      <c r="F511" s="88">
        <v>6.9</v>
      </c>
      <c r="G511" s="88"/>
      <c r="H511" s="140">
        <f>3-2.1</f>
        <v>0.8999999999999999</v>
      </c>
      <c r="I511" s="140">
        <f t="shared" si="11"/>
        <v>6.21</v>
      </c>
      <c r="J511" s="102"/>
      <c r="K511" s="88"/>
      <c r="L511" s="89">
        <f t="shared" si="10"/>
        <v>6.21</v>
      </c>
    </row>
    <row r="512" spans="2:12" ht="18" customHeight="1">
      <c r="B512" s="133"/>
      <c r="C512" s="126"/>
      <c r="D512" s="90"/>
      <c r="E512" s="98" t="s">
        <v>555</v>
      </c>
      <c r="F512" s="88">
        <v>6.8</v>
      </c>
      <c r="G512" s="88"/>
      <c r="H512" s="140">
        <f>3-2.1</f>
        <v>0.8999999999999999</v>
      </c>
      <c r="I512" s="140">
        <f t="shared" si="11"/>
        <v>6.119999999999999</v>
      </c>
      <c r="J512" s="102"/>
      <c r="K512" s="88"/>
      <c r="L512" s="89">
        <f t="shared" si="10"/>
        <v>6.119999999999999</v>
      </c>
    </row>
    <row r="513" spans="2:12" ht="18" customHeight="1">
      <c r="B513" s="133"/>
      <c r="C513" s="126"/>
      <c r="D513" s="90"/>
      <c r="E513" s="98" t="s">
        <v>83</v>
      </c>
      <c r="F513" s="88">
        <v>10.4</v>
      </c>
      <c r="G513" s="88"/>
      <c r="H513" s="140">
        <f>3-2.1</f>
        <v>0.8999999999999999</v>
      </c>
      <c r="I513" s="140">
        <f t="shared" si="11"/>
        <v>9.36</v>
      </c>
      <c r="J513" s="102"/>
      <c r="K513" s="88"/>
      <c r="L513" s="89">
        <f t="shared" si="10"/>
        <v>9.36</v>
      </c>
    </row>
    <row r="514" spans="2:12" ht="18" customHeight="1">
      <c r="B514" s="133"/>
      <c r="C514" s="126"/>
      <c r="D514" s="90"/>
      <c r="E514" s="98"/>
      <c r="F514" s="88"/>
      <c r="G514" s="88"/>
      <c r="H514" s="88"/>
      <c r="I514" s="88"/>
      <c r="J514" s="102"/>
      <c r="K514" s="88"/>
      <c r="L514" s="89"/>
    </row>
    <row r="515" spans="2:12" ht="18" customHeight="1">
      <c r="B515" s="133"/>
      <c r="C515" s="126"/>
      <c r="D515" s="90"/>
      <c r="E515" s="144" t="s">
        <v>63</v>
      </c>
      <c r="F515" s="140"/>
      <c r="G515" s="102"/>
      <c r="H515" s="140"/>
      <c r="I515" s="140"/>
      <c r="J515" s="102"/>
      <c r="K515" s="88"/>
      <c r="L515" s="89"/>
    </row>
    <row r="516" spans="2:12" ht="18" customHeight="1">
      <c r="B516" s="133"/>
      <c r="C516" s="132"/>
      <c r="D516" s="132"/>
      <c r="E516" s="98" t="s">
        <v>101</v>
      </c>
      <c r="F516" s="88">
        <f>68.4-10.05</f>
        <v>58.35000000000001</v>
      </c>
      <c r="G516" s="88"/>
      <c r="H516" s="88">
        <v>4.97</v>
      </c>
      <c r="I516" s="140">
        <f>F516*H516</f>
        <v>289.9995</v>
      </c>
      <c r="J516" s="102"/>
      <c r="K516" s="88"/>
      <c r="L516" s="89">
        <f aca="true" t="shared" si="12" ref="L516:L524">I516</f>
        <v>289.9995</v>
      </c>
    </row>
    <row r="517" spans="2:12" ht="18" customHeight="1">
      <c r="B517" s="133"/>
      <c r="C517" s="132"/>
      <c r="D517" s="132"/>
      <c r="E517" s="98" t="s">
        <v>558</v>
      </c>
      <c r="F517" s="88">
        <v>6.7</v>
      </c>
      <c r="G517" s="88"/>
      <c r="H517" s="88">
        <v>5.91</v>
      </c>
      <c r="I517" s="140">
        <f>F517*H517</f>
        <v>39.597</v>
      </c>
      <c r="J517" s="102"/>
      <c r="K517" s="88"/>
      <c r="L517" s="89">
        <f t="shared" si="12"/>
        <v>39.597</v>
      </c>
    </row>
    <row r="518" spans="2:12" ht="18" customHeight="1">
      <c r="B518" s="133"/>
      <c r="C518" s="132"/>
      <c r="D518" s="132"/>
      <c r="E518" s="98" t="s">
        <v>558</v>
      </c>
      <c r="F518" s="88">
        <v>4.9</v>
      </c>
      <c r="G518" s="88"/>
      <c r="H518" s="88">
        <v>0.7</v>
      </c>
      <c r="I518" s="140">
        <f>F518*H518</f>
        <v>3.43</v>
      </c>
      <c r="J518" s="102"/>
      <c r="K518" s="88"/>
      <c r="L518" s="89">
        <f t="shared" si="12"/>
        <v>3.43</v>
      </c>
    </row>
    <row r="519" spans="2:12" ht="18" customHeight="1">
      <c r="B519" s="133"/>
      <c r="C519" s="132"/>
      <c r="D519" s="132"/>
      <c r="E519" s="102" t="s">
        <v>559</v>
      </c>
      <c r="F519" s="140">
        <v>7.65</v>
      </c>
      <c r="G519" s="102"/>
      <c r="H519" s="140">
        <v>2.55</v>
      </c>
      <c r="I519" s="140">
        <f>F519*H519</f>
        <v>19.5075</v>
      </c>
      <c r="J519" s="102"/>
      <c r="K519" s="88"/>
      <c r="L519" s="89">
        <f t="shared" si="12"/>
        <v>19.5075</v>
      </c>
    </row>
    <row r="520" spans="2:12" ht="18" customHeight="1">
      <c r="B520" s="133"/>
      <c r="C520" s="132"/>
      <c r="D520" s="132"/>
      <c r="E520" s="102" t="s">
        <v>560</v>
      </c>
      <c r="F520" s="140">
        <v>10.9</v>
      </c>
      <c r="G520" s="102"/>
      <c r="H520" s="140">
        <v>2.55</v>
      </c>
      <c r="I520" s="140">
        <f aca="true" t="shared" si="13" ref="I520:I525">F520*H520</f>
        <v>27.794999999999998</v>
      </c>
      <c r="J520" s="102"/>
      <c r="K520" s="88"/>
      <c r="L520" s="89">
        <f t="shared" si="12"/>
        <v>27.794999999999998</v>
      </c>
    </row>
    <row r="521" spans="2:12" ht="18" customHeight="1">
      <c r="B521" s="133"/>
      <c r="C521" s="132"/>
      <c r="D521" s="132"/>
      <c r="E521" s="102" t="s">
        <v>561</v>
      </c>
      <c r="F521" s="140">
        <v>9.45</v>
      </c>
      <c r="G521" s="102"/>
      <c r="H521" s="140">
        <v>2.55</v>
      </c>
      <c r="I521" s="140">
        <f t="shared" si="13"/>
        <v>24.097499999999997</v>
      </c>
      <c r="J521" s="102"/>
      <c r="K521" s="88"/>
      <c r="L521" s="89">
        <f t="shared" si="12"/>
        <v>24.097499999999997</v>
      </c>
    </row>
    <row r="522" spans="2:12" ht="18" customHeight="1">
      <c r="B522" s="133"/>
      <c r="C522" s="132"/>
      <c r="D522" s="132"/>
      <c r="E522" s="102" t="s">
        <v>562</v>
      </c>
      <c r="F522" s="140">
        <v>10.1</v>
      </c>
      <c r="G522" s="102"/>
      <c r="H522" s="140">
        <v>2.55</v>
      </c>
      <c r="I522" s="140">
        <f t="shared" si="13"/>
        <v>25.755</v>
      </c>
      <c r="J522" s="102"/>
      <c r="K522" s="88"/>
      <c r="L522" s="89">
        <f t="shared" si="12"/>
        <v>25.755</v>
      </c>
    </row>
    <row r="523" spans="2:12" ht="18" customHeight="1">
      <c r="B523" s="133"/>
      <c r="C523" s="132"/>
      <c r="D523" s="132"/>
      <c r="E523" s="102" t="s">
        <v>563</v>
      </c>
      <c r="F523" s="140">
        <v>9.5</v>
      </c>
      <c r="G523" s="102"/>
      <c r="H523" s="140">
        <v>2.55</v>
      </c>
      <c r="I523" s="140">
        <f t="shared" si="13"/>
        <v>24.224999999999998</v>
      </c>
      <c r="J523" s="102"/>
      <c r="K523" s="88"/>
      <c r="L523" s="89">
        <f t="shared" si="12"/>
        <v>24.224999999999998</v>
      </c>
    </row>
    <row r="524" spans="2:12" ht="18" customHeight="1">
      <c r="B524" s="133"/>
      <c r="C524" s="132"/>
      <c r="D524" s="132"/>
      <c r="E524" s="102" t="s">
        <v>564</v>
      </c>
      <c r="F524" s="140">
        <v>9.1</v>
      </c>
      <c r="G524" s="102"/>
      <c r="H524" s="140">
        <v>2.55</v>
      </c>
      <c r="I524" s="140">
        <f t="shared" si="13"/>
        <v>23.205</v>
      </c>
      <c r="J524" s="102"/>
      <c r="K524" s="88"/>
      <c r="L524" s="89">
        <f t="shared" si="12"/>
        <v>23.205</v>
      </c>
    </row>
    <row r="525" spans="2:12" ht="18" customHeight="1">
      <c r="B525" s="133"/>
      <c r="C525" s="132"/>
      <c r="D525" s="132"/>
      <c r="E525" s="102" t="s">
        <v>565</v>
      </c>
      <c r="F525" s="140">
        <f>37.2</f>
        <v>37.2</v>
      </c>
      <c r="G525" s="102"/>
      <c r="H525" s="140">
        <v>2.7</v>
      </c>
      <c r="I525" s="140">
        <f t="shared" si="13"/>
        <v>100.44000000000001</v>
      </c>
      <c r="J525" s="102"/>
      <c r="K525" s="88"/>
      <c r="L525" s="89">
        <f>I525+7*0.79</f>
        <v>105.97000000000001</v>
      </c>
    </row>
    <row r="526" spans="2:12" ht="18" customHeight="1">
      <c r="B526" s="133"/>
      <c r="C526" s="132"/>
      <c r="D526" s="132"/>
      <c r="E526" s="98"/>
      <c r="F526" s="140"/>
      <c r="G526" s="102"/>
      <c r="H526" s="140"/>
      <c r="I526" s="88"/>
      <c r="J526" s="102"/>
      <c r="K526" s="88"/>
      <c r="L526" s="99">
        <f>SUM(L492:L525)-86.82</f>
        <v>1207.4615000000003</v>
      </c>
    </row>
    <row r="527" spans="2:12" ht="36">
      <c r="B527" s="108" t="str">
        <f>Orçamento!B271</f>
        <v>16.2</v>
      </c>
      <c r="C527" s="109" t="str">
        <f>Orçamento!C271</f>
        <v>Aplicação e lixamento de massa látex em paredes, duas demãos</v>
      </c>
      <c r="D527" s="82" t="s">
        <v>39</v>
      </c>
      <c r="E527" s="81"/>
      <c r="F527" s="81"/>
      <c r="G527" s="81"/>
      <c r="H527" s="81"/>
      <c r="I527" s="81"/>
      <c r="J527" s="81"/>
      <c r="K527" s="81"/>
      <c r="L527" s="127"/>
    </row>
    <row r="528" spans="2:12" ht="18">
      <c r="B528" s="85"/>
      <c r="C528" s="126"/>
      <c r="D528" s="90"/>
      <c r="E528" s="144" t="s">
        <v>62</v>
      </c>
      <c r="F528" s="102"/>
      <c r="G528" s="102"/>
      <c r="H528" s="102"/>
      <c r="I528" s="102"/>
      <c r="J528" s="102"/>
      <c r="K528" s="102"/>
      <c r="L528" s="128"/>
    </row>
    <row r="529" spans="2:12" ht="18">
      <c r="B529" s="85"/>
      <c r="C529" s="126"/>
      <c r="D529" s="90"/>
      <c r="E529" s="98" t="s">
        <v>544</v>
      </c>
      <c r="F529" s="140">
        <v>18.7</v>
      </c>
      <c r="G529" s="102"/>
      <c r="H529" s="140">
        <v>3</v>
      </c>
      <c r="I529" s="140">
        <f>F529*H529</f>
        <v>56.099999999999994</v>
      </c>
      <c r="J529" s="102"/>
      <c r="K529" s="88"/>
      <c r="L529" s="89">
        <f aca="true" t="shared" si="14" ref="L529:L550">I529</f>
        <v>56.099999999999994</v>
      </c>
    </row>
    <row r="530" spans="2:12" ht="18">
      <c r="B530" s="85"/>
      <c r="C530" s="126"/>
      <c r="D530" s="90"/>
      <c r="E530" s="129" t="s">
        <v>92</v>
      </c>
      <c r="F530" s="140">
        <v>8.8</v>
      </c>
      <c r="G530" s="102"/>
      <c r="H530" s="140">
        <f>3-2.1</f>
        <v>0.8999999999999999</v>
      </c>
      <c r="I530" s="140">
        <f>F530*H530</f>
        <v>7.92</v>
      </c>
      <c r="J530" s="102"/>
      <c r="K530" s="88"/>
      <c r="L530" s="89">
        <f t="shared" si="14"/>
        <v>7.92</v>
      </c>
    </row>
    <row r="531" spans="2:12" ht="18">
      <c r="B531" s="85"/>
      <c r="C531" s="126"/>
      <c r="D531" s="90"/>
      <c r="E531" s="98" t="s">
        <v>556</v>
      </c>
      <c r="F531" s="140">
        <v>63.6</v>
      </c>
      <c r="G531" s="102"/>
      <c r="H531" s="140">
        <v>3</v>
      </c>
      <c r="I531" s="140">
        <f aca="true" t="shared" si="15" ref="I531:I550">F531*H531</f>
        <v>190.8</v>
      </c>
      <c r="J531" s="102"/>
      <c r="K531" s="88"/>
      <c r="L531" s="89">
        <f t="shared" si="14"/>
        <v>190.8</v>
      </c>
    </row>
    <row r="532" spans="2:12" ht="18">
      <c r="B532" s="85"/>
      <c r="C532" s="126"/>
      <c r="D532" s="90"/>
      <c r="E532" s="98" t="s">
        <v>566</v>
      </c>
      <c r="F532" s="140">
        <v>9.9</v>
      </c>
      <c r="G532" s="102"/>
      <c r="H532" s="140">
        <f>3-2.1</f>
        <v>0.8999999999999999</v>
      </c>
      <c r="I532" s="140">
        <f t="shared" si="15"/>
        <v>8.91</v>
      </c>
      <c r="J532" s="102"/>
      <c r="K532" s="88"/>
      <c r="L532" s="89">
        <f t="shared" si="14"/>
        <v>8.91</v>
      </c>
    </row>
    <row r="533" spans="2:12" ht="18">
      <c r="B533" s="85"/>
      <c r="C533" s="126"/>
      <c r="D533" s="90"/>
      <c r="E533" s="98" t="s">
        <v>557</v>
      </c>
      <c r="F533" s="140">
        <v>15.4</v>
      </c>
      <c r="G533" s="102"/>
      <c r="H533" s="140">
        <v>3</v>
      </c>
      <c r="I533" s="140">
        <f t="shared" si="15"/>
        <v>46.2</v>
      </c>
      <c r="J533" s="102"/>
      <c r="K533" s="88"/>
      <c r="L533" s="89">
        <f t="shared" si="14"/>
        <v>46.2</v>
      </c>
    </row>
    <row r="534" spans="2:12" ht="18">
      <c r="B534" s="85"/>
      <c r="C534" s="126"/>
      <c r="D534" s="90"/>
      <c r="E534" s="98" t="s">
        <v>545</v>
      </c>
      <c r="F534" s="140">
        <v>8.8</v>
      </c>
      <c r="G534" s="102"/>
      <c r="H534" s="140">
        <f>3-2.1</f>
        <v>0.8999999999999999</v>
      </c>
      <c r="I534" s="140">
        <f t="shared" si="15"/>
        <v>7.92</v>
      </c>
      <c r="J534" s="102"/>
      <c r="K534" s="88"/>
      <c r="L534" s="89">
        <f t="shared" si="14"/>
        <v>7.92</v>
      </c>
    </row>
    <row r="535" spans="2:12" ht="18">
      <c r="B535" s="85"/>
      <c r="C535" s="126"/>
      <c r="D535" s="90"/>
      <c r="E535" s="98" t="s">
        <v>546</v>
      </c>
      <c r="F535" s="140">
        <v>8.8</v>
      </c>
      <c r="G535" s="88"/>
      <c r="H535" s="140">
        <f>3-2.1</f>
        <v>0.8999999999999999</v>
      </c>
      <c r="I535" s="140">
        <f t="shared" si="15"/>
        <v>7.92</v>
      </c>
      <c r="J535" s="102"/>
      <c r="K535" s="88"/>
      <c r="L535" s="89">
        <f t="shared" si="14"/>
        <v>7.92</v>
      </c>
    </row>
    <row r="536" spans="2:12" ht="18">
      <c r="B536" s="85"/>
      <c r="C536" s="126"/>
      <c r="D536" s="90"/>
      <c r="E536" s="98" t="s">
        <v>547</v>
      </c>
      <c r="F536" s="88">
        <v>17.6</v>
      </c>
      <c r="G536" s="88"/>
      <c r="H536" s="140">
        <v>3</v>
      </c>
      <c r="I536" s="140">
        <f t="shared" si="15"/>
        <v>52.800000000000004</v>
      </c>
      <c r="J536" s="102"/>
      <c r="K536" s="88"/>
      <c r="L536" s="89">
        <f t="shared" si="14"/>
        <v>52.800000000000004</v>
      </c>
    </row>
    <row r="537" spans="2:12" ht="18">
      <c r="B537" s="85"/>
      <c r="C537" s="126"/>
      <c r="D537" s="90"/>
      <c r="E537" s="98" t="s">
        <v>61</v>
      </c>
      <c r="F537" s="88">
        <v>11.3</v>
      </c>
      <c r="G537" s="88"/>
      <c r="H537" s="140">
        <v>3</v>
      </c>
      <c r="I537" s="140">
        <f t="shared" si="15"/>
        <v>33.900000000000006</v>
      </c>
      <c r="J537" s="102"/>
      <c r="K537" s="88"/>
      <c r="L537" s="89">
        <f t="shared" si="14"/>
        <v>33.900000000000006</v>
      </c>
    </row>
    <row r="538" spans="2:12" ht="18">
      <c r="B538" s="85"/>
      <c r="C538" s="126"/>
      <c r="D538" s="90"/>
      <c r="E538" s="98" t="s">
        <v>91</v>
      </c>
      <c r="F538" s="88">
        <v>14.1</v>
      </c>
      <c r="G538" s="88"/>
      <c r="H538" s="140">
        <v>3</v>
      </c>
      <c r="I538" s="140">
        <f t="shared" si="15"/>
        <v>42.3</v>
      </c>
      <c r="J538" s="102"/>
      <c r="K538" s="88"/>
      <c r="L538" s="89">
        <f t="shared" si="14"/>
        <v>42.3</v>
      </c>
    </row>
    <row r="539" spans="2:12" ht="18">
      <c r="B539" s="85"/>
      <c r="C539" s="126"/>
      <c r="D539" s="90"/>
      <c r="E539" s="98" t="s">
        <v>90</v>
      </c>
      <c r="F539" s="88">
        <v>6.6</v>
      </c>
      <c r="G539" s="88"/>
      <c r="H539" s="140">
        <f>3-2.1</f>
        <v>0.8999999999999999</v>
      </c>
      <c r="I539" s="140">
        <f t="shared" si="15"/>
        <v>5.9399999999999995</v>
      </c>
      <c r="J539" s="102"/>
      <c r="K539" s="88"/>
      <c r="L539" s="89">
        <f t="shared" si="14"/>
        <v>5.9399999999999995</v>
      </c>
    </row>
    <row r="540" spans="2:12" ht="18">
      <c r="B540" s="85"/>
      <c r="C540" s="126"/>
      <c r="D540" s="90"/>
      <c r="E540" s="98" t="s">
        <v>548</v>
      </c>
      <c r="F540" s="88">
        <v>9.3</v>
      </c>
      <c r="G540" s="88"/>
      <c r="H540" s="140">
        <f>3-2.1</f>
        <v>0.8999999999999999</v>
      </c>
      <c r="I540" s="140">
        <f t="shared" si="15"/>
        <v>8.37</v>
      </c>
      <c r="J540" s="102"/>
      <c r="K540" s="88"/>
      <c r="L540" s="89">
        <f t="shared" si="14"/>
        <v>8.37</v>
      </c>
    </row>
    <row r="541" spans="2:12" ht="18">
      <c r="B541" s="85"/>
      <c r="C541" s="126"/>
      <c r="D541" s="90"/>
      <c r="E541" s="190" t="s">
        <v>549</v>
      </c>
      <c r="F541" s="88">
        <v>15.4</v>
      </c>
      <c r="G541" s="88"/>
      <c r="H541" s="140">
        <v>3</v>
      </c>
      <c r="I541" s="140">
        <f t="shared" si="15"/>
        <v>46.2</v>
      </c>
      <c r="J541" s="102"/>
      <c r="K541" s="88"/>
      <c r="L541" s="89">
        <f t="shared" si="14"/>
        <v>46.2</v>
      </c>
    </row>
    <row r="542" spans="2:12" ht="18">
      <c r="B542" s="85"/>
      <c r="C542" s="126"/>
      <c r="D542" s="90"/>
      <c r="E542" s="98" t="s">
        <v>550</v>
      </c>
      <c r="F542" s="88">
        <v>15.4</v>
      </c>
      <c r="G542" s="88"/>
      <c r="H542" s="140">
        <v>3</v>
      </c>
      <c r="I542" s="140">
        <f t="shared" si="15"/>
        <v>46.2</v>
      </c>
      <c r="J542" s="102"/>
      <c r="K542" s="88"/>
      <c r="L542" s="89">
        <f t="shared" si="14"/>
        <v>46.2</v>
      </c>
    </row>
    <row r="543" spans="2:12" ht="18">
      <c r="B543" s="85"/>
      <c r="C543" s="126"/>
      <c r="D543" s="90"/>
      <c r="E543" s="98" t="s">
        <v>551</v>
      </c>
      <c r="F543" s="88">
        <v>8.9</v>
      </c>
      <c r="G543" s="88"/>
      <c r="H543" s="140">
        <f>3-2.1</f>
        <v>0.8999999999999999</v>
      </c>
      <c r="I543" s="140">
        <f t="shared" si="15"/>
        <v>8.01</v>
      </c>
      <c r="J543" s="102"/>
      <c r="K543" s="88"/>
      <c r="L543" s="89">
        <f t="shared" si="14"/>
        <v>8.01</v>
      </c>
    </row>
    <row r="544" spans="2:12" ht="18">
      <c r="B544" s="85"/>
      <c r="C544" s="126"/>
      <c r="D544" s="90"/>
      <c r="E544" s="98" t="s">
        <v>552</v>
      </c>
      <c r="F544" s="88">
        <v>8.8</v>
      </c>
      <c r="G544" s="88"/>
      <c r="H544" s="140">
        <f>3-2.1</f>
        <v>0.8999999999999999</v>
      </c>
      <c r="I544" s="140">
        <f t="shared" si="15"/>
        <v>7.92</v>
      </c>
      <c r="J544" s="102"/>
      <c r="K544" s="88"/>
      <c r="L544" s="89">
        <f t="shared" si="14"/>
        <v>7.92</v>
      </c>
    </row>
    <row r="545" spans="2:12" ht="18">
      <c r="B545" s="85"/>
      <c r="C545" s="126"/>
      <c r="D545" s="90"/>
      <c r="E545" s="98" t="s">
        <v>553</v>
      </c>
      <c r="F545" s="88">
        <v>15.5</v>
      </c>
      <c r="G545" s="88"/>
      <c r="H545" s="140">
        <v>3</v>
      </c>
      <c r="I545" s="140">
        <f t="shared" si="15"/>
        <v>46.5</v>
      </c>
      <c r="J545" s="102"/>
      <c r="K545" s="88"/>
      <c r="L545" s="89">
        <f t="shared" si="14"/>
        <v>46.5</v>
      </c>
    </row>
    <row r="546" spans="2:12" ht="18">
      <c r="B546" s="85"/>
      <c r="C546" s="126"/>
      <c r="D546" s="90"/>
      <c r="E546" s="98" t="s">
        <v>93</v>
      </c>
      <c r="F546" s="88">
        <v>13.8</v>
      </c>
      <c r="G546" s="88"/>
      <c r="H546" s="140">
        <v>3</v>
      </c>
      <c r="I546" s="140">
        <f t="shared" si="15"/>
        <v>41.400000000000006</v>
      </c>
      <c r="J546" s="102"/>
      <c r="K546" s="88"/>
      <c r="L546" s="89">
        <f t="shared" si="14"/>
        <v>41.400000000000006</v>
      </c>
    </row>
    <row r="547" spans="2:12" ht="18">
      <c r="B547" s="85"/>
      <c r="C547" s="126"/>
      <c r="D547" s="90"/>
      <c r="E547" s="98" t="s">
        <v>554</v>
      </c>
      <c r="F547" s="88">
        <v>7.9</v>
      </c>
      <c r="G547" s="88"/>
      <c r="H547" s="140">
        <v>3</v>
      </c>
      <c r="I547" s="140">
        <f t="shared" si="15"/>
        <v>23.700000000000003</v>
      </c>
      <c r="J547" s="102"/>
      <c r="K547" s="88"/>
      <c r="L547" s="89">
        <f t="shared" si="14"/>
        <v>23.700000000000003</v>
      </c>
    </row>
    <row r="548" spans="2:12" ht="18">
      <c r="B548" s="85"/>
      <c r="C548" s="126"/>
      <c r="D548" s="90"/>
      <c r="E548" s="98" t="s">
        <v>555</v>
      </c>
      <c r="F548" s="88">
        <v>6.9</v>
      </c>
      <c r="G548" s="88"/>
      <c r="H548" s="140">
        <f>3-2.1</f>
        <v>0.8999999999999999</v>
      </c>
      <c r="I548" s="140">
        <f t="shared" si="15"/>
        <v>6.21</v>
      </c>
      <c r="J548" s="102"/>
      <c r="K548" s="88"/>
      <c r="L548" s="89">
        <f t="shared" si="14"/>
        <v>6.21</v>
      </c>
    </row>
    <row r="549" spans="2:12" ht="18">
      <c r="B549" s="85"/>
      <c r="C549" s="126"/>
      <c r="D549" s="90"/>
      <c r="E549" s="98" t="s">
        <v>555</v>
      </c>
      <c r="F549" s="88">
        <v>6.8</v>
      </c>
      <c r="G549" s="88"/>
      <c r="H549" s="140">
        <f>3-2.1</f>
        <v>0.8999999999999999</v>
      </c>
      <c r="I549" s="140">
        <f t="shared" si="15"/>
        <v>6.119999999999999</v>
      </c>
      <c r="J549" s="102"/>
      <c r="K549" s="88"/>
      <c r="L549" s="89">
        <f t="shared" si="14"/>
        <v>6.119999999999999</v>
      </c>
    </row>
    <row r="550" spans="2:12" ht="18">
      <c r="B550" s="85"/>
      <c r="C550" s="126"/>
      <c r="D550" s="90"/>
      <c r="E550" s="98" t="s">
        <v>83</v>
      </c>
      <c r="F550" s="88">
        <v>10.4</v>
      </c>
      <c r="G550" s="88"/>
      <c r="H550" s="140">
        <f>3-2.1</f>
        <v>0.8999999999999999</v>
      </c>
      <c r="I550" s="140">
        <f t="shared" si="15"/>
        <v>9.36</v>
      </c>
      <c r="J550" s="102"/>
      <c r="K550" s="88"/>
      <c r="L550" s="89">
        <f t="shared" si="14"/>
        <v>9.36</v>
      </c>
    </row>
    <row r="551" spans="2:12" ht="18">
      <c r="B551" s="85"/>
      <c r="C551" s="126"/>
      <c r="D551" s="90"/>
      <c r="E551" s="102"/>
      <c r="F551" s="102"/>
      <c r="G551" s="102"/>
      <c r="H551" s="102"/>
      <c r="I551" s="102"/>
      <c r="J551" s="102"/>
      <c r="K551" s="102"/>
      <c r="L551" s="99">
        <f>SUM(L528:L550)</f>
        <v>710.7000000000002</v>
      </c>
    </row>
    <row r="552" spans="2:12" ht="54">
      <c r="B552" s="108" t="str">
        <f>Orçamento!B272</f>
        <v>16.3</v>
      </c>
      <c r="C552" s="109" t="str">
        <f>Orçamento!C272</f>
        <v>Aplicação manual de pintura com tinta hospitalar acrílica, acabamento  acetinada em paredes, sem odor, duas demãos</v>
      </c>
      <c r="D552" s="82" t="s">
        <v>39</v>
      </c>
      <c r="E552" s="81"/>
      <c r="F552" s="81"/>
      <c r="G552" s="81"/>
      <c r="H552" s="81"/>
      <c r="I552" s="81"/>
      <c r="J552" s="81"/>
      <c r="K552" s="81"/>
      <c r="L552" s="127"/>
    </row>
    <row r="553" spans="2:12" ht="18" customHeight="1">
      <c r="B553" s="85"/>
      <c r="C553" s="126"/>
      <c r="D553" s="90"/>
      <c r="E553" s="144" t="s">
        <v>62</v>
      </c>
      <c r="F553" s="102"/>
      <c r="G553" s="102"/>
      <c r="H553" s="102"/>
      <c r="I553" s="102"/>
      <c r="J553" s="102"/>
      <c r="K553" s="102"/>
      <c r="L553" s="128"/>
    </row>
    <row r="554" spans="2:12" ht="18" customHeight="1">
      <c r="B554" s="85"/>
      <c r="C554" s="126"/>
      <c r="D554" s="90"/>
      <c r="E554" s="98" t="s">
        <v>544</v>
      </c>
      <c r="F554" s="140">
        <v>18.7</v>
      </c>
      <c r="G554" s="102"/>
      <c r="H554" s="140">
        <v>3</v>
      </c>
      <c r="I554" s="140">
        <f>F554*H554</f>
        <v>56.099999999999994</v>
      </c>
      <c r="J554" s="102"/>
      <c r="K554" s="88"/>
      <c r="L554" s="89">
        <f aca="true" t="shared" si="16" ref="L554:L575">I554</f>
        <v>56.099999999999994</v>
      </c>
    </row>
    <row r="555" spans="2:12" ht="18" customHeight="1">
      <c r="B555" s="85"/>
      <c r="C555" s="126"/>
      <c r="D555" s="90"/>
      <c r="E555" s="129" t="s">
        <v>92</v>
      </c>
      <c r="F555" s="140">
        <v>8.8</v>
      </c>
      <c r="G555" s="102"/>
      <c r="H555" s="140">
        <f>3-2.1</f>
        <v>0.8999999999999999</v>
      </c>
      <c r="I555" s="140">
        <f>F555*H555</f>
        <v>7.92</v>
      </c>
      <c r="J555" s="102"/>
      <c r="K555" s="88"/>
      <c r="L555" s="89">
        <f t="shared" si="16"/>
        <v>7.92</v>
      </c>
    </row>
    <row r="556" spans="2:12" ht="18" customHeight="1">
      <c r="B556" s="85"/>
      <c r="C556" s="126"/>
      <c r="D556" s="90"/>
      <c r="E556" s="98" t="s">
        <v>556</v>
      </c>
      <c r="F556" s="140">
        <v>63.6</v>
      </c>
      <c r="G556" s="102"/>
      <c r="H556" s="140">
        <v>3</v>
      </c>
      <c r="I556" s="140">
        <f aca="true" t="shared" si="17" ref="I556:I575">F556*H556</f>
        <v>190.8</v>
      </c>
      <c r="J556" s="102"/>
      <c r="K556" s="88"/>
      <c r="L556" s="89">
        <f t="shared" si="16"/>
        <v>190.8</v>
      </c>
    </row>
    <row r="557" spans="2:12" ht="18" customHeight="1">
      <c r="B557" s="85"/>
      <c r="C557" s="126"/>
      <c r="D557" s="90"/>
      <c r="E557" s="98" t="s">
        <v>566</v>
      </c>
      <c r="F557" s="140">
        <v>9.9</v>
      </c>
      <c r="G557" s="102"/>
      <c r="H557" s="140">
        <f>3-2.1</f>
        <v>0.8999999999999999</v>
      </c>
      <c r="I557" s="140">
        <f t="shared" si="17"/>
        <v>8.91</v>
      </c>
      <c r="J557" s="102"/>
      <c r="K557" s="88"/>
      <c r="L557" s="89">
        <f t="shared" si="16"/>
        <v>8.91</v>
      </c>
    </row>
    <row r="558" spans="2:12" ht="18" customHeight="1">
      <c r="B558" s="85"/>
      <c r="C558" s="126"/>
      <c r="D558" s="90"/>
      <c r="E558" s="98" t="s">
        <v>557</v>
      </c>
      <c r="F558" s="140">
        <v>15.4</v>
      </c>
      <c r="G558" s="102"/>
      <c r="H558" s="140">
        <v>3</v>
      </c>
      <c r="I558" s="140">
        <f t="shared" si="17"/>
        <v>46.2</v>
      </c>
      <c r="J558" s="102"/>
      <c r="K558" s="88"/>
      <c r="L558" s="89">
        <f t="shared" si="16"/>
        <v>46.2</v>
      </c>
    </row>
    <row r="559" spans="2:12" ht="18" customHeight="1">
      <c r="B559" s="85"/>
      <c r="C559" s="126"/>
      <c r="D559" s="90"/>
      <c r="E559" s="98" t="s">
        <v>545</v>
      </c>
      <c r="F559" s="140">
        <v>8.8</v>
      </c>
      <c r="G559" s="102"/>
      <c r="H559" s="140">
        <f>3-2.1</f>
        <v>0.8999999999999999</v>
      </c>
      <c r="I559" s="140">
        <f t="shared" si="17"/>
        <v>7.92</v>
      </c>
      <c r="J559" s="102"/>
      <c r="K559" s="88"/>
      <c r="L559" s="89">
        <f t="shared" si="16"/>
        <v>7.92</v>
      </c>
    </row>
    <row r="560" spans="2:12" ht="18" customHeight="1">
      <c r="B560" s="85"/>
      <c r="C560" s="126"/>
      <c r="D560" s="90"/>
      <c r="E560" s="98" t="s">
        <v>546</v>
      </c>
      <c r="F560" s="140">
        <v>8.8</v>
      </c>
      <c r="G560" s="88"/>
      <c r="H560" s="140">
        <f>3-2.1</f>
        <v>0.8999999999999999</v>
      </c>
      <c r="I560" s="140">
        <f t="shared" si="17"/>
        <v>7.92</v>
      </c>
      <c r="J560" s="102"/>
      <c r="K560" s="88"/>
      <c r="L560" s="89">
        <f t="shared" si="16"/>
        <v>7.92</v>
      </c>
    </row>
    <row r="561" spans="2:12" ht="18" customHeight="1">
      <c r="B561" s="85"/>
      <c r="C561" s="126"/>
      <c r="D561" s="90"/>
      <c r="E561" s="98" t="s">
        <v>547</v>
      </c>
      <c r="F561" s="88">
        <v>17.6</v>
      </c>
      <c r="G561" s="88"/>
      <c r="H561" s="140">
        <v>3</v>
      </c>
      <c r="I561" s="140">
        <f t="shared" si="17"/>
        <v>52.800000000000004</v>
      </c>
      <c r="J561" s="102"/>
      <c r="K561" s="88"/>
      <c r="L561" s="89">
        <f t="shared" si="16"/>
        <v>52.800000000000004</v>
      </c>
    </row>
    <row r="562" spans="2:12" ht="18" customHeight="1">
      <c r="B562" s="85"/>
      <c r="C562" s="126"/>
      <c r="D562" s="90"/>
      <c r="E562" s="98" t="s">
        <v>61</v>
      </c>
      <c r="F562" s="88">
        <v>11.3</v>
      </c>
      <c r="G562" s="88"/>
      <c r="H562" s="140">
        <v>3</v>
      </c>
      <c r="I562" s="140">
        <f t="shared" si="17"/>
        <v>33.900000000000006</v>
      </c>
      <c r="J562" s="102"/>
      <c r="K562" s="88"/>
      <c r="L562" s="89">
        <f t="shared" si="16"/>
        <v>33.900000000000006</v>
      </c>
    </row>
    <row r="563" spans="2:12" ht="18" customHeight="1">
      <c r="B563" s="85"/>
      <c r="C563" s="126"/>
      <c r="D563" s="90"/>
      <c r="E563" s="98" t="s">
        <v>91</v>
      </c>
      <c r="F563" s="88">
        <v>14.1</v>
      </c>
      <c r="G563" s="88"/>
      <c r="H563" s="140">
        <v>3</v>
      </c>
      <c r="I563" s="140">
        <f t="shared" si="17"/>
        <v>42.3</v>
      </c>
      <c r="J563" s="102"/>
      <c r="K563" s="88"/>
      <c r="L563" s="89">
        <f t="shared" si="16"/>
        <v>42.3</v>
      </c>
    </row>
    <row r="564" spans="2:12" ht="18" customHeight="1">
      <c r="B564" s="85"/>
      <c r="C564" s="126"/>
      <c r="D564" s="90"/>
      <c r="E564" s="98" t="s">
        <v>90</v>
      </c>
      <c r="F564" s="88">
        <v>6.6</v>
      </c>
      <c r="G564" s="88"/>
      <c r="H564" s="140">
        <f>3-2.1</f>
        <v>0.8999999999999999</v>
      </c>
      <c r="I564" s="140">
        <f t="shared" si="17"/>
        <v>5.9399999999999995</v>
      </c>
      <c r="J564" s="102"/>
      <c r="K564" s="88"/>
      <c r="L564" s="89">
        <f t="shared" si="16"/>
        <v>5.9399999999999995</v>
      </c>
    </row>
    <row r="565" spans="2:12" ht="18" customHeight="1">
      <c r="B565" s="85"/>
      <c r="C565" s="126"/>
      <c r="D565" s="90"/>
      <c r="E565" s="98" t="s">
        <v>548</v>
      </c>
      <c r="F565" s="88">
        <v>9.3</v>
      </c>
      <c r="G565" s="88"/>
      <c r="H565" s="140">
        <f>3-2.1</f>
        <v>0.8999999999999999</v>
      </c>
      <c r="I565" s="140">
        <f t="shared" si="17"/>
        <v>8.37</v>
      </c>
      <c r="J565" s="102"/>
      <c r="K565" s="88"/>
      <c r="L565" s="89">
        <f t="shared" si="16"/>
        <v>8.37</v>
      </c>
    </row>
    <row r="566" spans="2:12" ht="18" customHeight="1">
      <c r="B566" s="85"/>
      <c r="C566" s="126"/>
      <c r="D566" s="90"/>
      <c r="E566" s="190" t="s">
        <v>549</v>
      </c>
      <c r="F566" s="88">
        <v>15.4</v>
      </c>
      <c r="G566" s="88"/>
      <c r="H566" s="140">
        <v>3</v>
      </c>
      <c r="I566" s="140">
        <f t="shared" si="17"/>
        <v>46.2</v>
      </c>
      <c r="J566" s="102"/>
      <c r="K566" s="88"/>
      <c r="L566" s="89">
        <f t="shared" si="16"/>
        <v>46.2</v>
      </c>
    </row>
    <row r="567" spans="2:12" ht="18" customHeight="1">
      <c r="B567" s="85"/>
      <c r="C567" s="126"/>
      <c r="D567" s="90"/>
      <c r="E567" s="98" t="s">
        <v>550</v>
      </c>
      <c r="F567" s="88">
        <v>15.4</v>
      </c>
      <c r="G567" s="88"/>
      <c r="H567" s="140">
        <v>3</v>
      </c>
      <c r="I567" s="140">
        <f t="shared" si="17"/>
        <v>46.2</v>
      </c>
      <c r="J567" s="102"/>
      <c r="K567" s="88"/>
      <c r="L567" s="89">
        <f t="shared" si="16"/>
        <v>46.2</v>
      </c>
    </row>
    <row r="568" spans="2:12" ht="18" customHeight="1">
      <c r="B568" s="85"/>
      <c r="C568" s="126"/>
      <c r="D568" s="90"/>
      <c r="E568" s="98" t="s">
        <v>551</v>
      </c>
      <c r="F568" s="88">
        <v>8.9</v>
      </c>
      <c r="G568" s="88"/>
      <c r="H568" s="140">
        <f>3-2.1</f>
        <v>0.8999999999999999</v>
      </c>
      <c r="I568" s="140">
        <f t="shared" si="17"/>
        <v>8.01</v>
      </c>
      <c r="J568" s="102"/>
      <c r="K568" s="88"/>
      <c r="L568" s="89">
        <f t="shared" si="16"/>
        <v>8.01</v>
      </c>
    </row>
    <row r="569" spans="2:12" ht="18" customHeight="1">
      <c r="B569" s="85"/>
      <c r="C569" s="126"/>
      <c r="D569" s="90"/>
      <c r="E569" s="98" t="s">
        <v>552</v>
      </c>
      <c r="F569" s="88">
        <v>8.8</v>
      </c>
      <c r="G569" s="88"/>
      <c r="H569" s="140">
        <f>3-2.1</f>
        <v>0.8999999999999999</v>
      </c>
      <c r="I569" s="140">
        <f t="shared" si="17"/>
        <v>7.92</v>
      </c>
      <c r="J569" s="102"/>
      <c r="K569" s="88"/>
      <c r="L569" s="89">
        <f t="shared" si="16"/>
        <v>7.92</v>
      </c>
    </row>
    <row r="570" spans="2:12" ht="18" customHeight="1">
      <c r="B570" s="85"/>
      <c r="C570" s="126"/>
      <c r="D570" s="90"/>
      <c r="E570" s="98" t="s">
        <v>553</v>
      </c>
      <c r="F570" s="88">
        <v>15.5</v>
      </c>
      <c r="G570" s="88"/>
      <c r="H570" s="140">
        <v>3</v>
      </c>
      <c r="I570" s="140">
        <f t="shared" si="17"/>
        <v>46.5</v>
      </c>
      <c r="J570" s="102"/>
      <c r="K570" s="88"/>
      <c r="L570" s="89">
        <f t="shared" si="16"/>
        <v>46.5</v>
      </c>
    </row>
    <row r="571" spans="2:12" ht="18" customHeight="1">
      <c r="B571" s="85"/>
      <c r="C571" s="126"/>
      <c r="D571" s="90"/>
      <c r="E571" s="98" t="s">
        <v>93</v>
      </c>
      <c r="F571" s="88">
        <v>13.8</v>
      </c>
      <c r="G571" s="88"/>
      <c r="H571" s="140">
        <v>3</v>
      </c>
      <c r="I571" s="140">
        <f t="shared" si="17"/>
        <v>41.400000000000006</v>
      </c>
      <c r="J571" s="102"/>
      <c r="K571" s="88"/>
      <c r="L571" s="89">
        <f t="shared" si="16"/>
        <v>41.400000000000006</v>
      </c>
    </row>
    <row r="572" spans="2:12" ht="18" customHeight="1">
      <c r="B572" s="85"/>
      <c r="C572" s="126"/>
      <c r="D572" s="90"/>
      <c r="E572" s="98" t="s">
        <v>554</v>
      </c>
      <c r="F572" s="88">
        <v>7.9</v>
      </c>
      <c r="G572" s="88"/>
      <c r="H572" s="140">
        <v>3</v>
      </c>
      <c r="I572" s="140">
        <f t="shared" si="17"/>
        <v>23.700000000000003</v>
      </c>
      <c r="J572" s="102"/>
      <c r="K572" s="88"/>
      <c r="L572" s="89">
        <f t="shared" si="16"/>
        <v>23.700000000000003</v>
      </c>
    </row>
    <row r="573" spans="2:12" ht="18" customHeight="1">
      <c r="B573" s="85"/>
      <c r="C573" s="126"/>
      <c r="D573" s="90"/>
      <c r="E573" s="98" t="s">
        <v>555</v>
      </c>
      <c r="F573" s="88">
        <v>6.9</v>
      </c>
      <c r="G573" s="88"/>
      <c r="H573" s="140">
        <f>3-2.1</f>
        <v>0.8999999999999999</v>
      </c>
      <c r="I573" s="140">
        <f t="shared" si="17"/>
        <v>6.21</v>
      </c>
      <c r="J573" s="102"/>
      <c r="K573" s="88"/>
      <c r="L573" s="89">
        <f t="shared" si="16"/>
        <v>6.21</v>
      </c>
    </row>
    <row r="574" spans="2:12" ht="18" customHeight="1">
      <c r="B574" s="85"/>
      <c r="C574" s="126"/>
      <c r="D574" s="90"/>
      <c r="E574" s="98" t="s">
        <v>555</v>
      </c>
      <c r="F574" s="88">
        <v>6.8</v>
      </c>
      <c r="G574" s="88"/>
      <c r="H574" s="140">
        <f>3-2.1</f>
        <v>0.8999999999999999</v>
      </c>
      <c r="I574" s="140">
        <f t="shared" si="17"/>
        <v>6.119999999999999</v>
      </c>
      <c r="J574" s="102"/>
      <c r="K574" s="88"/>
      <c r="L574" s="89">
        <f t="shared" si="16"/>
        <v>6.119999999999999</v>
      </c>
    </row>
    <row r="575" spans="2:12" ht="18" customHeight="1">
      <c r="B575" s="85"/>
      <c r="C575" s="126"/>
      <c r="D575" s="90"/>
      <c r="E575" s="98" t="s">
        <v>83</v>
      </c>
      <c r="F575" s="88">
        <v>10.4</v>
      </c>
      <c r="G575" s="88"/>
      <c r="H575" s="140">
        <f>3-2.1</f>
        <v>0.8999999999999999</v>
      </c>
      <c r="I575" s="140">
        <f t="shared" si="17"/>
        <v>9.36</v>
      </c>
      <c r="J575" s="102"/>
      <c r="K575" s="88"/>
      <c r="L575" s="89">
        <f t="shared" si="16"/>
        <v>9.36</v>
      </c>
    </row>
    <row r="576" spans="2:12" ht="18" customHeight="1">
      <c r="B576" s="91"/>
      <c r="C576" s="113"/>
      <c r="D576" s="96"/>
      <c r="E576" s="94"/>
      <c r="F576" s="94"/>
      <c r="G576" s="94"/>
      <c r="H576" s="94"/>
      <c r="I576" s="94"/>
      <c r="J576" s="94"/>
      <c r="K576" s="94"/>
      <c r="L576" s="97">
        <f>SUM(L553:L575)</f>
        <v>710.7000000000002</v>
      </c>
    </row>
    <row r="577" spans="2:12" ht="36">
      <c r="B577" s="130" t="str">
        <f>Orçamento!B273</f>
        <v>16.4</v>
      </c>
      <c r="C577" s="126" t="str">
        <f>Orçamento!C273</f>
        <v>Aplicação de fundo selador látex PVA em teto, uma demão</v>
      </c>
      <c r="D577" s="90" t="s">
        <v>39</v>
      </c>
      <c r="E577" s="102"/>
      <c r="F577" s="102"/>
      <c r="G577" s="102"/>
      <c r="H577" s="102"/>
      <c r="I577" s="102"/>
      <c r="J577" s="102"/>
      <c r="K577" s="102"/>
      <c r="L577" s="99"/>
    </row>
    <row r="578" spans="2:12" ht="18">
      <c r="B578" s="130"/>
      <c r="C578" s="126"/>
      <c r="D578" s="90"/>
      <c r="E578" s="102" t="s">
        <v>92</v>
      </c>
      <c r="F578" s="102"/>
      <c r="G578" s="102"/>
      <c r="H578" s="102"/>
      <c r="I578" s="143">
        <v>4.78</v>
      </c>
      <c r="J578" s="102"/>
      <c r="K578" s="102"/>
      <c r="L578" s="89">
        <f>I578</f>
        <v>4.78</v>
      </c>
    </row>
    <row r="579" spans="2:12" ht="18">
      <c r="B579" s="130"/>
      <c r="C579" s="126"/>
      <c r="D579" s="90"/>
      <c r="E579" s="98" t="s">
        <v>557</v>
      </c>
      <c r="F579" s="88"/>
      <c r="G579" s="88"/>
      <c r="H579" s="88"/>
      <c r="I579" s="88">
        <v>14.73</v>
      </c>
      <c r="J579" s="102"/>
      <c r="K579" s="102"/>
      <c r="L579" s="89">
        <f aca="true" t="shared" si="18" ref="L579:L596">I579</f>
        <v>14.73</v>
      </c>
    </row>
    <row r="580" spans="2:12" ht="18">
      <c r="B580" s="130"/>
      <c r="C580" s="126"/>
      <c r="D580" s="90"/>
      <c r="E580" s="98" t="s">
        <v>545</v>
      </c>
      <c r="F580" s="88"/>
      <c r="G580" s="88"/>
      <c r="H580" s="88"/>
      <c r="I580" s="88">
        <v>4.8</v>
      </c>
      <c r="J580" s="102"/>
      <c r="K580" s="102"/>
      <c r="L580" s="89">
        <f t="shared" si="18"/>
        <v>4.8</v>
      </c>
    </row>
    <row r="581" spans="2:12" ht="18">
      <c r="B581" s="130"/>
      <c r="C581" s="126"/>
      <c r="D581" s="90"/>
      <c r="E581" s="98" t="s">
        <v>546</v>
      </c>
      <c r="F581" s="88"/>
      <c r="G581" s="88"/>
      <c r="H581" s="88"/>
      <c r="I581" s="88">
        <v>4.8</v>
      </c>
      <c r="J581" s="102"/>
      <c r="K581" s="102"/>
      <c r="L581" s="89">
        <f t="shared" si="18"/>
        <v>4.8</v>
      </c>
    </row>
    <row r="582" spans="2:12" ht="18">
      <c r="B582" s="130"/>
      <c r="C582" s="126"/>
      <c r="D582" s="90"/>
      <c r="E582" s="98" t="s">
        <v>547</v>
      </c>
      <c r="F582" s="88"/>
      <c r="G582" s="88"/>
      <c r="H582" s="88"/>
      <c r="I582" s="88">
        <v>19.3</v>
      </c>
      <c r="J582" s="102"/>
      <c r="K582" s="102"/>
      <c r="L582" s="89">
        <f t="shared" si="18"/>
        <v>19.3</v>
      </c>
    </row>
    <row r="583" spans="2:12" ht="18">
      <c r="B583" s="130"/>
      <c r="C583" s="126"/>
      <c r="D583" s="90"/>
      <c r="E583" s="98" t="s">
        <v>61</v>
      </c>
      <c r="F583" s="88"/>
      <c r="G583" s="88"/>
      <c r="H583" s="88"/>
      <c r="I583" s="88">
        <v>6.23</v>
      </c>
      <c r="J583" s="102"/>
      <c r="K583" s="102"/>
      <c r="L583" s="89">
        <f t="shared" si="18"/>
        <v>6.23</v>
      </c>
    </row>
    <row r="584" spans="2:12" ht="18">
      <c r="B584" s="130"/>
      <c r="C584" s="126"/>
      <c r="D584" s="90"/>
      <c r="E584" s="98" t="s">
        <v>91</v>
      </c>
      <c r="F584" s="88"/>
      <c r="G584" s="88"/>
      <c r="H584" s="88"/>
      <c r="I584" s="88">
        <v>11.97</v>
      </c>
      <c r="J584" s="102"/>
      <c r="K584" s="102"/>
      <c r="L584" s="89">
        <f t="shared" si="18"/>
        <v>11.97</v>
      </c>
    </row>
    <row r="585" spans="2:12" ht="18">
      <c r="B585" s="130"/>
      <c r="C585" s="126"/>
      <c r="D585" s="90"/>
      <c r="E585" s="98" t="s">
        <v>90</v>
      </c>
      <c r="F585" s="88"/>
      <c r="G585" s="88"/>
      <c r="H585" s="88"/>
      <c r="I585" s="88">
        <v>2.63</v>
      </c>
      <c r="J585" s="102"/>
      <c r="K585" s="102"/>
      <c r="L585" s="89">
        <f t="shared" si="18"/>
        <v>2.63</v>
      </c>
    </row>
    <row r="586" spans="2:12" ht="18">
      <c r="B586" s="130"/>
      <c r="C586" s="126"/>
      <c r="D586" s="90"/>
      <c r="E586" s="98" t="s">
        <v>548</v>
      </c>
      <c r="F586" s="88"/>
      <c r="G586" s="88"/>
      <c r="H586" s="88"/>
      <c r="I586" s="88">
        <v>5.26</v>
      </c>
      <c r="J586" s="102"/>
      <c r="K586" s="102"/>
      <c r="L586" s="89">
        <f t="shared" si="18"/>
        <v>5.26</v>
      </c>
    </row>
    <row r="587" spans="2:12" ht="18">
      <c r="B587" s="130"/>
      <c r="C587" s="126"/>
      <c r="D587" s="90"/>
      <c r="E587" s="190" t="s">
        <v>549</v>
      </c>
      <c r="F587" s="88"/>
      <c r="G587" s="88"/>
      <c r="H587" s="88"/>
      <c r="I587" s="88">
        <v>14.7</v>
      </c>
      <c r="J587" s="102"/>
      <c r="K587" s="102"/>
      <c r="L587" s="89">
        <f t="shared" si="18"/>
        <v>14.7</v>
      </c>
    </row>
    <row r="588" spans="2:12" ht="18">
      <c r="B588" s="130"/>
      <c r="C588" s="126"/>
      <c r="D588" s="90"/>
      <c r="E588" s="98" t="s">
        <v>550</v>
      </c>
      <c r="F588" s="88"/>
      <c r="G588" s="88"/>
      <c r="H588" s="88"/>
      <c r="I588" s="88">
        <v>14.7</v>
      </c>
      <c r="J588" s="102"/>
      <c r="K588" s="102"/>
      <c r="L588" s="89">
        <f t="shared" si="18"/>
        <v>14.7</v>
      </c>
    </row>
    <row r="589" spans="2:12" ht="18">
      <c r="B589" s="130"/>
      <c r="C589" s="126"/>
      <c r="D589" s="90"/>
      <c r="E589" s="98" t="s">
        <v>551</v>
      </c>
      <c r="F589" s="88"/>
      <c r="G589" s="88"/>
      <c r="H589" s="88"/>
      <c r="I589" s="88">
        <v>4.92</v>
      </c>
      <c r="J589" s="102"/>
      <c r="K589" s="102"/>
      <c r="L589" s="89">
        <f t="shared" si="18"/>
        <v>4.92</v>
      </c>
    </row>
    <row r="590" spans="2:12" ht="18">
      <c r="B590" s="130"/>
      <c r="C590" s="126"/>
      <c r="D590" s="90"/>
      <c r="E590" s="98" t="s">
        <v>552</v>
      </c>
      <c r="F590" s="88"/>
      <c r="G590" s="88"/>
      <c r="H590" s="88"/>
      <c r="I590" s="88">
        <v>4.8</v>
      </c>
      <c r="J590" s="102"/>
      <c r="K590" s="102"/>
      <c r="L590" s="89">
        <f t="shared" si="18"/>
        <v>4.8</v>
      </c>
    </row>
    <row r="591" spans="2:12" ht="18">
      <c r="B591" s="130"/>
      <c r="C591" s="126"/>
      <c r="D591" s="90"/>
      <c r="E591" s="98" t="s">
        <v>553</v>
      </c>
      <c r="F591" s="88"/>
      <c r="G591" s="88"/>
      <c r="H591" s="88"/>
      <c r="I591" s="88">
        <v>14.91</v>
      </c>
      <c r="J591" s="102"/>
      <c r="K591" s="102"/>
      <c r="L591" s="89">
        <f t="shared" si="18"/>
        <v>14.91</v>
      </c>
    </row>
    <row r="592" spans="2:12" ht="18">
      <c r="B592" s="130"/>
      <c r="C592" s="126"/>
      <c r="D592" s="90"/>
      <c r="E592" s="98" t="s">
        <v>93</v>
      </c>
      <c r="F592" s="88"/>
      <c r="G592" s="88"/>
      <c r="H592" s="88"/>
      <c r="I592" s="88">
        <v>11.34</v>
      </c>
      <c r="J592" s="102"/>
      <c r="K592" s="140"/>
      <c r="L592" s="89">
        <f t="shared" si="18"/>
        <v>11.34</v>
      </c>
    </row>
    <row r="593" spans="2:12" ht="18">
      <c r="B593" s="130"/>
      <c r="C593" s="126"/>
      <c r="D593" s="90"/>
      <c r="E593" s="98" t="s">
        <v>554</v>
      </c>
      <c r="F593" s="88"/>
      <c r="G593" s="88"/>
      <c r="H593" s="88"/>
      <c r="I593" s="88">
        <v>3.79</v>
      </c>
      <c r="J593" s="102"/>
      <c r="K593" s="102"/>
      <c r="L593" s="89">
        <f t="shared" si="18"/>
        <v>3.79</v>
      </c>
    </row>
    <row r="594" spans="2:12" ht="18">
      <c r="B594" s="130"/>
      <c r="C594" s="126"/>
      <c r="D594" s="90"/>
      <c r="E594" s="98" t="s">
        <v>555</v>
      </c>
      <c r="F594" s="88"/>
      <c r="G594" s="88"/>
      <c r="H594" s="88"/>
      <c r="I594" s="88">
        <v>2.65</v>
      </c>
      <c r="J594" s="102"/>
      <c r="K594" s="140"/>
      <c r="L594" s="89">
        <f t="shared" si="18"/>
        <v>2.65</v>
      </c>
    </row>
    <row r="595" spans="2:12" ht="18">
      <c r="B595" s="130"/>
      <c r="C595" s="126"/>
      <c r="D595" s="90"/>
      <c r="E595" s="98" t="s">
        <v>555</v>
      </c>
      <c r="F595" s="88"/>
      <c r="G595" s="88"/>
      <c r="H595" s="88"/>
      <c r="I595" s="88">
        <v>2.53</v>
      </c>
      <c r="J595" s="102"/>
      <c r="K595" s="102"/>
      <c r="L595" s="89">
        <f t="shared" si="18"/>
        <v>2.53</v>
      </c>
    </row>
    <row r="596" spans="2:12" ht="18">
      <c r="B596" s="130"/>
      <c r="C596" s="126"/>
      <c r="D596" s="90"/>
      <c r="E596" s="98" t="s">
        <v>83</v>
      </c>
      <c r="F596" s="88"/>
      <c r="G596" s="88"/>
      <c r="H596" s="88"/>
      <c r="I596" s="88">
        <v>4.7</v>
      </c>
      <c r="J596" s="102"/>
      <c r="K596" s="102"/>
      <c r="L596" s="89">
        <f t="shared" si="18"/>
        <v>4.7</v>
      </c>
    </row>
    <row r="597" spans="2:12" ht="18" customHeight="1">
      <c r="B597" s="85"/>
      <c r="C597" s="126"/>
      <c r="D597" s="90"/>
      <c r="E597" s="102"/>
      <c r="F597" s="102"/>
      <c r="G597" s="102"/>
      <c r="H597" s="102"/>
      <c r="I597" s="102"/>
      <c r="J597" s="102"/>
      <c r="K597" s="102"/>
      <c r="L597" s="99">
        <f>SUM(L579:L596)</f>
        <v>148.76</v>
      </c>
    </row>
    <row r="598" spans="2:12" ht="36">
      <c r="B598" s="108" t="str">
        <f>Orçamento!B274</f>
        <v>16.5</v>
      </c>
      <c r="C598" s="109" t="str">
        <f>Orçamento!C274</f>
        <v>Aplicação e lixamento de massa látex em teto, duas demãos</v>
      </c>
      <c r="D598" s="82" t="s">
        <v>39</v>
      </c>
      <c r="E598" s="81"/>
      <c r="F598" s="81"/>
      <c r="G598" s="81"/>
      <c r="H598" s="81"/>
      <c r="I598" s="81"/>
      <c r="J598" s="81"/>
      <c r="K598" s="81"/>
      <c r="L598" s="84"/>
    </row>
    <row r="599" spans="2:12" ht="18" customHeight="1">
      <c r="B599" s="85"/>
      <c r="C599" s="126"/>
      <c r="D599" s="90"/>
      <c r="E599" s="98" t="s">
        <v>556</v>
      </c>
      <c r="F599" s="88"/>
      <c r="G599" s="88"/>
      <c r="H599" s="88"/>
      <c r="I599" s="88">
        <f>11.08+31.19+29.93</f>
        <v>72.2</v>
      </c>
      <c r="J599" s="102"/>
      <c r="K599" s="102"/>
      <c r="L599" s="142">
        <f aca="true" t="shared" si="19" ref="L599:L620">I599</f>
        <v>72.2</v>
      </c>
    </row>
    <row r="600" spans="2:12" ht="18" customHeight="1">
      <c r="B600" s="85"/>
      <c r="C600" s="126"/>
      <c r="D600" s="90"/>
      <c r="E600" s="98" t="s">
        <v>544</v>
      </c>
      <c r="F600" s="88"/>
      <c r="G600" s="88"/>
      <c r="H600" s="88"/>
      <c r="I600" s="88">
        <v>18.73</v>
      </c>
      <c r="J600" s="102"/>
      <c r="K600" s="102"/>
      <c r="L600" s="142">
        <f t="shared" si="19"/>
        <v>18.73</v>
      </c>
    </row>
    <row r="601" spans="2:12" ht="18" customHeight="1">
      <c r="B601" s="85"/>
      <c r="C601" s="126"/>
      <c r="D601" s="90"/>
      <c r="E601" s="102" t="s">
        <v>92</v>
      </c>
      <c r="F601" s="88"/>
      <c r="G601" s="88"/>
      <c r="H601" s="88"/>
      <c r="I601" s="143">
        <v>4.78</v>
      </c>
      <c r="J601" s="102"/>
      <c r="K601" s="102"/>
      <c r="L601" s="142">
        <f t="shared" si="19"/>
        <v>4.78</v>
      </c>
    </row>
    <row r="602" spans="2:12" ht="18" customHeight="1">
      <c r="B602" s="85"/>
      <c r="C602" s="126"/>
      <c r="D602" s="90"/>
      <c r="E602" s="98" t="s">
        <v>566</v>
      </c>
      <c r="F602" s="88"/>
      <c r="G602" s="88"/>
      <c r="H602" s="88"/>
      <c r="I602" s="143">
        <f>5.95+2.75</f>
        <v>8.7</v>
      </c>
      <c r="J602" s="102"/>
      <c r="K602" s="102"/>
      <c r="L602" s="142">
        <f t="shared" si="19"/>
        <v>8.7</v>
      </c>
    </row>
    <row r="603" spans="2:12" ht="18" customHeight="1">
      <c r="B603" s="85"/>
      <c r="C603" s="126"/>
      <c r="D603" s="90"/>
      <c r="E603" s="98" t="s">
        <v>557</v>
      </c>
      <c r="F603" s="88"/>
      <c r="G603" s="88"/>
      <c r="H603" s="88"/>
      <c r="I603" s="88">
        <v>14.73</v>
      </c>
      <c r="J603" s="102"/>
      <c r="K603" s="102"/>
      <c r="L603" s="142">
        <f t="shared" si="19"/>
        <v>14.73</v>
      </c>
    </row>
    <row r="604" spans="2:12" ht="18" customHeight="1">
      <c r="B604" s="85"/>
      <c r="C604" s="126"/>
      <c r="D604" s="90"/>
      <c r="E604" s="98" t="s">
        <v>545</v>
      </c>
      <c r="F604" s="88"/>
      <c r="G604" s="88"/>
      <c r="H604" s="88"/>
      <c r="I604" s="88">
        <v>4.8</v>
      </c>
      <c r="J604" s="102"/>
      <c r="K604" s="102"/>
      <c r="L604" s="142">
        <f t="shared" si="19"/>
        <v>4.8</v>
      </c>
    </row>
    <row r="605" spans="2:12" ht="18" customHeight="1">
      <c r="B605" s="85"/>
      <c r="C605" s="126"/>
      <c r="D605" s="90"/>
      <c r="E605" s="98" t="s">
        <v>546</v>
      </c>
      <c r="F605" s="88"/>
      <c r="G605" s="88"/>
      <c r="H605" s="88"/>
      <c r="I605" s="88">
        <v>4.8</v>
      </c>
      <c r="J605" s="102"/>
      <c r="K605" s="102"/>
      <c r="L605" s="142">
        <f t="shared" si="19"/>
        <v>4.8</v>
      </c>
    </row>
    <row r="606" spans="2:12" ht="18" customHeight="1">
      <c r="B606" s="85"/>
      <c r="C606" s="126"/>
      <c r="D606" s="90"/>
      <c r="E606" s="98" t="s">
        <v>547</v>
      </c>
      <c r="F606" s="88"/>
      <c r="G606" s="88"/>
      <c r="H606" s="88"/>
      <c r="I606" s="88">
        <v>19.3</v>
      </c>
      <c r="J606" s="102"/>
      <c r="K606" s="102"/>
      <c r="L606" s="142">
        <f t="shared" si="19"/>
        <v>19.3</v>
      </c>
    </row>
    <row r="607" spans="2:12" ht="18" customHeight="1">
      <c r="B607" s="85"/>
      <c r="C607" s="126"/>
      <c r="D607" s="90"/>
      <c r="E607" s="98" t="s">
        <v>61</v>
      </c>
      <c r="F607" s="88"/>
      <c r="G607" s="88"/>
      <c r="H607" s="88"/>
      <c r="I607" s="88">
        <v>6.23</v>
      </c>
      <c r="J607" s="102"/>
      <c r="K607" s="102"/>
      <c r="L607" s="142">
        <f t="shared" si="19"/>
        <v>6.23</v>
      </c>
    </row>
    <row r="608" spans="2:12" ht="18" customHeight="1">
      <c r="B608" s="85"/>
      <c r="C608" s="126"/>
      <c r="D608" s="90"/>
      <c r="E608" s="98" t="s">
        <v>91</v>
      </c>
      <c r="F608" s="88"/>
      <c r="G608" s="88"/>
      <c r="H608" s="88"/>
      <c r="I608" s="88">
        <v>11.97</v>
      </c>
      <c r="J608" s="102"/>
      <c r="K608" s="102"/>
      <c r="L608" s="142">
        <f t="shared" si="19"/>
        <v>11.97</v>
      </c>
    </row>
    <row r="609" spans="2:12" ht="18" customHeight="1">
      <c r="B609" s="85"/>
      <c r="C609" s="126"/>
      <c r="D609" s="90"/>
      <c r="E609" s="98" t="s">
        <v>90</v>
      </c>
      <c r="F609" s="88"/>
      <c r="G609" s="88"/>
      <c r="H609" s="88"/>
      <c r="I609" s="88">
        <v>2.63</v>
      </c>
      <c r="J609" s="102"/>
      <c r="K609" s="102"/>
      <c r="L609" s="142">
        <f t="shared" si="19"/>
        <v>2.63</v>
      </c>
    </row>
    <row r="610" spans="2:12" ht="18" customHeight="1">
      <c r="B610" s="85"/>
      <c r="C610" s="126"/>
      <c r="D610" s="90"/>
      <c r="E610" s="98" t="s">
        <v>548</v>
      </c>
      <c r="F610" s="88"/>
      <c r="G610" s="88"/>
      <c r="H610" s="88"/>
      <c r="I610" s="88">
        <v>5.26</v>
      </c>
      <c r="J610" s="102"/>
      <c r="K610" s="102"/>
      <c r="L610" s="142">
        <f t="shared" si="19"/>
        <v>5.26</v>
      </c>
    </row>
    <row r="611" spans="2:12" ht="18" customHeight="1">
      <c r="B611" s="85"/>
      <c r="C611" s="126"/>
      <c r="D611" s="90"/>
      <c r="E611" s="190" t="s">
        <v>549</v>
      </c>
      <c r="F611" s="88"/>
      <c r="G611" s="88"/>
      <c r="H611" s="88"/>
      <c r="I611" s="88">
        <v>14.7</v>
      </c>
      <c r="J611" s="102"/>
      <c r="K611" s="102"/>
      <c r="L611" s="142">
        <f t="shared" si="19"/>
        <v>14.7</v>
      </c>
    </row>
    <row r="612" spans="2:12" ht="18" customHeight="1">
      <c r="B612" s="85"/>
      <c r="C612" s="126"/>
      <c r="D612" s="90"/>
      <c r="E612" s="98" t="s">
        <v>550</v>
      </c>
      <c r="F612" s="88"/>
      <c r="G612" s="88"/>
      <c r="H612" s="88"/>
      <c r="I612" s="88">
        <v>14.7</v>
      </c>
      <c r="J612" s="102"/>
      <c r="K612" s="102"/>
      <c r="L612" s="142">
        <f t="shared" si="19"/>
        <v>14.7</v>
      </c>
    </row>
    <row r="613" spans="2:12" ht="18" customHeight="1">
      <c r="B613" s="85"/>
      <c r="C613" s="126"/>
      <c r="D613" s="90"/>
      <c r="E613" s="98" t="s">
        <v>551</v>
      </c>
      <c r="F613" s="88"/>
      <c r="G613" s="88"/>
      <c r="H613" s="88"/>
      <c r="I613" s="88">
        <v>4.92</v>
      </c>
      <c r="J613" s="102"/>
      <c r="K613" s="140"/>
      <c r="L613" s="142">
        <f t="shared" si="19"/>
        <v>4.92</v>
      </c>
    </row>
    <row r="614" spans="2:12" ht="18" customHeight="1">
      <c r="B614" s="85"/>
      <c r="C614" s="126"/>
      <c r="D614" s="90"/>
      <c r="E614" s="98" t="s">
        <v>552</v>
      </c>
      <c r="F614" s="88"/>
      <c r="G614" s="88"/>
      <c r="H614" s="88"/>
      <c r="I614" s="88">
        <v>4.8</v>
      </c>
      <c r="J614" s="102"/>
      <c r="K614" s="102"/>
      <c r="L614" s="142">
        <f t="shared" si="19"/>
        <v>4.8</v>
      </c>
    </row>
    <row r="615" spans="2:12" ht="18" customHeight="1">
      <c r="B615" s="85"/>
      <c r="C615" s="126"/>
      <c r="D615" s="90"/>
      <c r="E615" s="98" t="s">
        <v>553</v>
      </c>
      <c r="F615" s="88"/>
      <c r="G615" s="88"/>
      <c r="H615" s="88"/>
      <c r="I615" s="88">
        <v>14.91</v>
      </c>
      <c r="J615" s="102"/>
      <c r="K615" s="140"/>
      <c r="L615" s="142">
        <f t="shared" si="19"/>
        <v>14.91</v>
      </c>
    </row>
    <row r="616" spans="2:12" ht="18" customHeight="1">
      <c r="B616" s="85"/>
      <c r="C616" s="126"/>
      <c r="D616" s="90"/>
      <c r="E616" s="98" t="s">
        <v>93</v>
      </c>
      <c r="F616" s="88"/>
      <c r="G616" s="88"/>
      <c r="H616" s="88"/>
      <c r="I616" s="88">
        <v>11.34</v>
      </c>
      <c r="J616" s="102"/>
      <c r="K616" s="102"/>
      <c r="L616" s="142">
        <f t="shared" si="19"/>
        <v>11.34</v>
      </c>
    </row>
    <row r="617" spans="2:12" ht="18" customHeight="1">
      <c r="B617" s="85"/>
      <c r="C617" s="126"/>
      <c r="D617" s="90"/>
      <c r="E617" s="98" t="s">
        <v>554</v>
      </c>
      <c r="F617" s="88"/>
      <c r="G617" s="88"/>
      <c r="H617" s="88"/>
      <c r="I617" s="88">
        <v>3.79</v>
      </c>
      <c r="J617" s="102"/>
      <c r="K617" s="102"/>
      <c r="L617" s="142">
        <f t="shared" si="19"/>
        <v>3.79</v>
      </c>
    </row>
    <row r="618" spans="2:12" ht="18" customHeight="1">
      <c r="B618" s="85"/>
      <c r="C618" s="126"/>
      <c r="D618" s="90"/>
      <c r="E618" s="98" t="s">
        <v>555</v>
      </c>
      <c r="F618" s="88"/>
      <c r="G618" s="88"/>
      <c r="H618" s="88"/>
      <c r="I618" s="88">
        <v>2.65</v>
      </c>
      <c r="J618" s="102"/>
      <c r="K618" s="102"/>
      <c r="L618" s="142">
        <f t="shared" si="19"/>
        <v>2.65</v>
      </c>
    </row>
    <row r="619" spans="2:12" ht="18" customHeight="1">
      <c r="B619" s="85"/>
      <c r="C619" s="126"/>
      <c r="D619" s="90"/>
      <c r="E619" s="98" t="s">
        <v>555</v>
      </c>
      <c r="F619" s="88"/>
      <c r="G619" s="88"/>
      <c r="H619" s="88"/>
      <c r="I619" s="88">
        <v>2.53</v>
      </c>
      <c r="J619" s="102"/>
      <c r="K619" s="102"/>
      <c r="L619" s="142">
        <f t="shared" si="19"/>
        <v>2.53</v>
      </c>
    </row>
    <row r="620" spans="2:12" ht="18" customHeight="1">
      <c r="B620" s="85"/>
      <c r="C620" s="126"/>
      <c r="D620" s="90"/>
      <c r="E620" s="98" t="s">
        <v>83</v>
      </c>
      <c r="F620" s="88"/>
      <c r="G620" s="88"/>
      <c r="H620" s="88"/>
      <c r="I620" s="88">
        <v>4.7</v>
      </c>
      <c r="J620" s="102"/>
      <c r="K620" s="102"/>
      <c r="L620" s="142">
        <f t="shared" si="19"/>
        <v>4.7</v>
      </c>
    </row>
    <row r="621" spans="2:12" ht="18" customHeight="1">
      <c r="B621" s="85"/>
      <c r="C621" s="126"/>
      <c r="D621" s="90"/>
      <c r="E621" s="94"/>
      <c r="F621" s="94"/>
      <c r="G621" s="94"/>
      <c r="H621" s="94"/>
      <c r="I621" s="94"/>
      <c r="J621" s="94"/>
      <c r="K621" s="94"/>
      <c r="L621" s="97">
        <f>SUM(L599:L620)</f>
        <v>253.16999999999996</v>
      </c>
    </row>
    <row r="622" spans="2:12" ht="36">
      <c r="B622" s="108" t="str">
        <f>Orçamento!B275</f>
        <v>16.6</v>
      </c>
      <c r="C622" s="109" t="str">
        <f>Orçamento!C275</f>
        <v>Aplicação manual de pintura com tinta látex PVA em teto, duas demãos</v>
      </c>
      <c r="D622" s="82" t="s">
        <v>39</v>
      </c>
      <c r="E622" s="81"/>
      <c r="F622" s="81"/>
      <c r="G622" s="81"/>
      <c r="H622" s="81"/>
      <c r="I622" s="81"/>
      <c r="J622" s="81"/>
      <c r="K622" s="81"/>
      <c r="L622" s="84"/>
    </row>
    <row r="623" spans="2:12" ht="18" customHeight="1">
      <c r="B623" s="85"/>
      <c r="C623" s="126"/>
      <c r="D623" s="90"/>
      <c r="E623" s="98" t="s">
        <v>556</v>
      </c>
      <c r="F623" s="88"/>
      <c r="G623" s="88"/>
      <c r="H623" s="88"/>
      <c r="I623" s="88">
        <f>11.08+31.19+29.93</f>
        <v>72.2</v>
      </c>
      <c r="J623" s="102"/>
      <c r="K623" s="102"/>
      <c r="L623" s="142">
        <f aca="true" t="shared" si="20" ref="L623:L644">I623</f>
        <v>72.2</v>
      </c>
    </row>
    <row r="624" spans="2:12" ht="18" customHeight="1">
      <c r="B624" s="85"/>
      <c r="C624" s="126"/>
      <c r="D624" s="90"/>
      <c r="E624" s="98" t="s">
        <v>544</v>
      </c>
      <c r="F624" s="88"/>
      <c r="G624" s="88"/>
      <c r="H624" s="88"/>
      <c r="I624" s="88">
        <v>18.73</v>
      </c>
      <c r="J624" s="102"/>
      <c r="K624" s="102"/>
      <c r="L624" s="142">
        <f t="shared" si="20"/>
        <v>18.73</v>
      </c>
    </row>
    <row r="625" spans="2:12" ht="18" customHeight="1">
      <c r="B625" s="85"/>
      <c r="C625" s="126"/>
      <c r="D625" s="90"/>
      <c r="E625" s="102" t="s">
        <v>92</v>
      </c>
      <c r="F625" s="88"/>
      <c r="G625" s="88"/>
      <c r="H625" s="88"/>
      <c r="I625" s="143">
        <v>4.78</v>
      </c>
      <c r="J625" s="102"/>
      <c r="K625" s="102"/>
      <c r="L625" s="142">
        <f t="shared" si="20"/>
        <v>4.78</v>
      </c>
    </row>
    <row r="626" spans="2:12" ht="18" customHeight="1">
      <c r="B626" s="85"/>
      <c r="C626" s="126"/>
      <c r="D626" s="90"/>
      <c r="E626" s="98" t="s">
        <v>566</v>
      </c>
      <c r="F626" s="88"/>
      <c r="G626" s="88"/>
      <c r="H626" s="88"/>
      <c r="I626" s="143">
        <f>5.95+2.75</f>
        <v>8.7</v>
      </c>
      <c r="J626" s="102"/>
      <c r="K626" s="102"/>
      <c r="L626" s="142">
        <f t="shared" si="20"/>
        <v>8.7</v>
      </c>
    </row>
    <row r="627" spans="2:12" ht="18" customHeight="1">
      <c r="B627" s="85"/>
      <c r="C627" s="126"/>
      <c r="D627" s="90"/>
      <c r="E627" s="98" t="s">
        <v>557</v>
      </c>
      <c r="F627" s="88"/>
      <c r="G627" s="88"/>
      <c r="H627" s="88"/>
      <c r="I627" s="88">
        <v>14.73</v>
      </c>
      <c r="J627" s="102"/>
      <c r="K627" s="102"/>
      <c r="L627" s="142">
        <f t="shared" si="20"/>
        <v>14.73</v>
      </c>
    </row>
    <row r="628" spans="2:12" ht="18" customHeight="1">
      <c r="B628" s="85"/>
      <c r="C628" s="126"/>
      <c r="D628" s="90"/>
      <c r="E628" s="98" t="s">
        <v>545</v>
      </c>
      <c r="F628" s="88"/>
      <c r="G628" s="88"/>
      <c r="H628" s="88"/>
      <c r="I628" s="88">
        <v>4.8</v>
      </c>
      <c r="J628" s="102"/>
      <c r="K628" s="102"/>
      <c r="L628" s="142">
        <f t="shared" si="20"/>
        <v>4.8</v>
      </c>
    </row>
    <row r="629" spans="2:12" ht="18" customHeight="1">
      <c r="B629" s="85"/>
      <c r="C629" s="126"/>
      <c r="D629" s="90"/>
      <c r="E629" s="98" t="s">
        <v>546</v>
      </c>
      <c r="F629" s="88"/>
      <c r="G629" s="88"/>
      <c r="H629" s="88"/>
      <c r="I629" s="88">
        <v>4.8</v>
      </c>
      <c r="J629" s="102"/>
      <c r="K629" s="102"/>
      <c r="L629" s="142">
        <f t="shared" si="20"/>
        <v>4.8</v>
      </c>
    </row>
    <row r="630" spans="2:12" ht="18" customHeight="1">
      <c r="B630" s="85"/>
      <c r="C630" s="126"/>
      <c r="D630" s="90"/>
      <c r="E630" s="98" t="s">
        <v>547</v>
      </c>
      <c r="F630" s="88"/>
      <c r="G630" s="88"/>
      <c r="H630" s="88"/>
      <c r="I630" s="88">
        <v>19.3</v>
      </c>
      <c r="J630" s="102"/>
      <c r="K630" s="102"/>
      <c r="L630" s="142">
        <f t="shared" si="20"/>
        <v>19.3</v>
      </c>
    </row>
    <row r="631" spans="2:12" ht="18" customHeight="1">
      <c r="B631" s="85"/>
      <c r="C631" s="126"/>
      <c r="D631" s="90"/>
      <c r="E631" s="98" t="s">
        <v>61</v>
      </c>
      <c r="F631" s="88"/>
      <c r="G631" s="88"/>
      <c r="H631" s="88"/>
      <c r="I631" s="88">
        <v>6.23</v>
      </c>
      <c r="J631" s="102"/>
      <c r="K631" s="102"/>
      <c r="L631" s="142">
        <f t="shared" si="20"/>
        <v>6.23</v>
      </c>
    </row>
    <row r="632" spans="2:12" ht="18" customHeight="1">
      <c r="B632" s="85"/>
      <c r="C632" s="126"/>
      <c r="D632" s="90"/>
      <c r="E632" s="98" t="s">
        <v>91</v>
      </c>
      <c r="F632" s="88"/>
      <c r="G632" s="88"/>
      <c r="H632" s="88"/>
      <c r="I632" s="88">
        <v>11.97</v>
      </c>
      <c r="J632" s="102"/>
      <c r="K632" s="102"/>
      <c r="L632" s="142">
        <f t="shared" si="20"/>
        <v>11.97</v>
      </c>
    </row>
    <row r="633" spans="2:12" ht="18" customHeight="1">
      <c r="B633" s="85"/>
      <c r="C633" s="126"/>
      <c r="D633" s="90"/>
      <c r="E633" s="98" t="s">
        <v>90</v>
      </c>
      <c r="F633" s="88"/>
      <c r="G633" s="88"/>
      <c r="H633" s="88"/>
      <c r="I633" s="88">
        <v>2.63</v>
      </c>
      <c r="J633" s="102"/>
      <c r="K633" s="102"/>
      <c r="L633" s="142">
        <f t="shared" si="20"/>
        <v>2.63</v>
      </c>
    </row>
    <row r="634" spans="2:12" ht="18" customHeight="1">
      <c r="B634" s="85"/>
      <c r="C634" s="126"/>
      <c r="D634" s="90"/>
      <c r="E634" s="98" t="s">
        <v>548</v>
      </c>
      <c r="F634" s="88"/>
      <c r="G634" s="88"/>
      <c r="H634" s="88"/>
      <c r="I634" s="88">
        <v>5.26</v>
      </c>
      <c r="J634" s="102"/>
      <c r="K634" s="102"/>
      <c r="L634" s="142">
        <f t="shared" si="20"/>
        <v>5.26</v>
      </c>
    </row>
    <row r="635" spans="2:12" ht="18" customHeight="1">
      <c r="B635" s="85"/>
      <c r="C635" s="126"/>
      <c r="D635" s="90"/>
      <c r="E635" s="190" t="s">
        <v>549</v>
      </c>
      <c r="F635" s="88"/>
      <c r="G635" s="88"/>
      <c r="H635" s="88"/>
      <c r="I635" s="88">
        <v>14.7</v>
      </c>
      <c r="J635" s="102"/>
      <c r="K635" s="102"/>
      <c r="L635" s="142">
        <f t="shared" si="20"/>
        <v>14.7</v>
      </c>
    </row>
    <row r="636" spans="2:12" ht="18" customHeight="1">
      <c r="B636" s="85"/>
      <c r="C636" s="126"/>
      <c r="D636" s="90"/>
      <c r="E636" s="98" t="s">
        <v>550</v>
      </c>
      <c r="F636" s="88"/>
      <c r="G636" s="88"/>
      <c r="H636" s="88"/>
      <c r="I636" s="88">
        <v>14.7</v>
      </c>
      <c r="J636" s="102"/>
      <c r="K636" s="102"/>
      <c r="L636" s="142">
        <f t="shared" si="20"/>
        <v>14.7</v>
      </c>
    </row>
    <row r="637" spans="2:12" ht="18" customHeight="1">
      <c r="B637" s="85"/>
      <c r="C637" s="126"/>
      <c r="D637" s="90"/>
      <c r="E637" s="98" t="s">
        <v>551</v>
      </c>
      <c r="F637" s="88"/>
      <c r="G637" s="88"/>
      <c r="H637" s="88"/>
      <c r="I637" s="88">
        <v>4.92</v>
      </c>
      <c r="J637" s="102"/>
      <c r="K637" s="140"/>
      <c r="L637" s="142">
        <f t="shared" si="20"/>
        <v>4.92</v>
      </c>
    </row>
    <row r="638" spans="2:12" ht="18" customHeight="1">
      <c r="B638" s="85"/>
      <c r="C638" s="126"/>
      <c r="D638" s="90"/>
      <c r="E638" s="98" t="s">
        <v>552</v>
      </c>
      <c r="F638" s="88"/>
      <c r="G638" s="88"/>
      <c r="H638" s="88"/>
      <c r="I638" s="88">
        <v>4.8</v>
      </c>
      <c r="J638" s="102"/>
      <c r="K638" s="102"/>
      <c r="L638" s="142">
        <f t="shared" si="20"/>
        <v>4.8</v>
      </c>
    </row>
    <row r="639" spans="2:12" ht="18" customHeight="1">
      <c r="B639" s="85"/>
      <c r="C639" s="126"/>
      <c r="D639" s="90"/>
      <c r="E639" s="98" t="s">
        <v>553</v>
      </c>
      <c r="F639" s="88"/>
      <c r="G639" s="88"/>
      <c r="H639" s="88"/>
      <c r="I639" s="88">
        <v>14.91</v>
      </c>
      <c r="J639" s="102"/>
      <c r="K639" s="140"/>
      <c r="L639" s="142">
        <f t="shared" si="20"/>
        <v>14.91</v>
      </c>
    </row>
    <row r="640" spans="2:12" ht="18" customHeight="1">
      <c r="B640" s="85"/>
      <c r="C640" s="126"/>
      <c r="D640" s="90"/>
      <c r="E640" s="98" t="s">
        <v>93</v>
      </c>
      <c r="F640" s="88"/>
      <c r="G640" s="88"/>
      <c r="H640" s="88"/>
      <c r="I640" s="88">
        <v>11.34</v>
      </c>
      <c r="J640" s="102"/>
      <c r="K640" s="102"/>
      <c r="L640" s="142">
        <f t="shared" si="20"/>
        <v>11.34</v>
      </c>
    </row>
    <row r="641" spans="2:12" ht="18" customHeight="1">
      <c r="B641" s="85"/>
      <c r="C641" s="126"/>
      <c r="D641" s="90"/>
      <c r="E641" s="98" t="s">
        <v>554</v>
      </c>
      <c r="F641" s="88"/>
      <c r="G641" s="88"/>
      <c r="H641" s="88"/>
      <c r="I641" s="88">
        <v>3.79</v>
      </c>
      <c r="J641" s="102"/>
      <c r="K641" s="102"/>
      <c r="L641" s="142">
        <f t="shared" si="20"/>
        <v>3.79</v>
      </c>
    </row>
    <row r="642" spans="2:12" ht="18" customHeight="1">
      <c r="B642" s="85"/>
      <c r="C642" s="126"/>
      <c r="D642" s="90"/>
      <c r="E642" s="98" t="s">
        <v>555</v>
      </c>
      <c r="F642" s="88"/>
      <c r="G642" s="88"/>
      <c r="H642" s="88"/>
      <c r="I642" s="88">
        <v>2.65</v>
      </c>
      <c r="J642" s="102"/>
      <c r="K642" s="102"/>
      <c r="L642" s="142">
        <f t="shared" si="20"/>
        <v>2.65</v>
      </c>
    </row>
    <row r="643" spans="2:12" ht="18" customHeight="1">
      <c r="B643" s="85"/>
      <c r="C643" s="126"/>
      <c r="D643" s="90"/>
      <c r="E643" s="98" t="s">
        <v>555</v>
      </c>
      <c r="F643" s="88"/>
      <c r="G643" s="88"/>
      <c r="H643" s="88"/>
      <c r="I643" s="88">
        <v>2.53</v>
      </c>
      <c r="J643" s="102"/>
      <c r="K643" s="102"/>
      <c r="L643" s="142">
        <f t="shared" si="20"/>
        <v>2.53</v>
      </c>
    </row>
    <row r="644" spans="2:12" ht="18" customHeight="1">
      <c r="B644" s="85"/>
      <c r="C644" s="126"/>
      <c r="D644" s="90"/>
      <c r="E644" s="98" t="s">
        <v>83</v>
      </c>
      <c r="F644" s="88"/>
      <c r="G644" s="88"/>
      <c r="H644" s="88"/>
      <c r="I644" s="88">
        <v>4.7</v>
      </c>
      <c r="J644" s="102"/>
      <c r="K644" s="102"/>
      <c r="L644" s="142">
        <f t="shared" si="20"/>
        <v>4.7</v>
      </c>
    </row>
    <row r="645" spans="2:12" ht="18" customHeight="1">
      <c r="B645" s="91"/>
      <c r="C645" s="113"/>
      <c r="D645" s="96"/>
      <c r="E645" s="94"/>
      <c r="F645" s="94"/>
      <c r="G645" s="94"/>
      <c r="H645" s="94"/>
      <c r="I645" s="94"/>
      <c r="J645" s="94"/>
      <c r="K645" s="94"/>
      <c r="L645" s="97">
        <f>SUM(L623:L644)</f>
        <v>253.16999999999996</v>
      </c>
    </row>
    <row r="646" spans="2:12" ht="36">
      <c r="B646" s="108" t="str">
        <f>Orçamento!B276</f>
        <v>16.7</v>
      </c>
      <c r="C646" s="109" t="str">
        <f>Orçamento!C276</f>
        <v>Aplicação manual de pintura com tinta texturizada acrílica em paredes</v>
      </c>
      <c r="D646" s="82" t="s">
        <v>39</v>
      </c>
      <c r="E646" s="81"/>
      <c r="F646" s="81"/>
      <c r="G646" s="81"/>
      <c r="H646" s="81"/>
      <c r="I646" s="81"/>
      <c r="J646" s="81"/>
      <c r="K646" s="81"/>
      <c r="L646" s="84"/>
    </row>
    <row r="647" spans="2:12" ht="18" customHeight="1">
      <c r="B647" s="85"/>
      <c r="C647" s="126"/>
      <c r="D647" s="90"/>
      <c r="E647" s="144" t="s">
        <v>63</v>
      </c>
      <c r="F647" s="140"/>
      <c r="G647" s="102"/>
      <c r="H647" s="140"/>
      <c r="I647" s="140"/>
      <c r="J647" s="102"/>
      <c r="K647" s="88"/>
      <c r="L647" s="89"/>
    </row>
    <row r="648" spans="2:12" ht="18" customHeight="1">
      <c r="B648" s="85"/>
      <c r="C648" s="126"/>
      <c r="D648" s="90"/>
      <c r="E648" s="98" t="s">
        <v>101</v>
      </c>
      <c r="F648" s="88">
        <f>68.4-10.05</f>
        <v>58.35000000000001</v>
      </c>
      <c r="G648" s="88"/>
      <c r="H648" s="88">
        <v>4.97</v>
      </c>
      <c r="I648" s="140">
        <f>F648*H648</f>
        <v>289.9995</v>
      </c>
      <c r="J648" s="102"/>
      <c r="K648" s="88"/>
      <c r="L648" s="89">
        <f aca="true" t="shared" si="21" ref="L648:L656">I648</f>
        <v>289.9995</v>
      </c>
    </row>
    <row r="649" spans="2:12" ht="18" customHeight="1">
      <c r="B649" s="85"/>
      <c r="C649" s="126"/>
      <c r="D649" s="90"/>
      <c r="E649" s="98" t="s">
        <v>558</v>
      </c>
      <c r="F649" s="88">
        <v>6.7</v>
      </c>
      <c r="G649" s="88"/>
      <c r="H649" s="88">
        <v>5.91</v>
      </c>
      <c r="I649" s="140">
        <f>F649*H649</f>
        <v>39.597</v>
      </c>
      <c r="J649" s="102"/>
      <c r="K649" s="88"/>
      <c r="L649" s="89">
        <f t="shared" si="21"/>
        <v>39.597</v>
      </c>
    </row>
    <row r="650" spans="2:12" ht="18" customHeight="1">
      <c r="B650" s="85"/>
      <c r="C650" s="126"/>
      <c r="D650" s="90"/>
      <c r="E650" s="98" t="s">
        <v>558</v>
      </c>
      <c r="F650" s="88">
        <v>4.9</v>
      </c>
      <c r="G650" s="88"/>
      <c r="H650" s="88">
        <v>0.7</v>
      </c>
      <c r="I650" s="140">
        <f>F650*H650</f>
        <v>3.43</v>
      </c>
      <c r="J650" s="102"/>
      <c r="K650" s="88"/>
      <c r="L650" s="89">
        <f t="shared" si="21"/>
        <v>3.43</v>
      </c>
    </row>
    <row r="651" spans="2:12" ht="18" customHeight="1">
      <c r="B651" s="85"/>
      <c r="C651" s="126"/>
      <c r="D651" s="90"/>
      <c r="E651" s="102" t="s">
        <v>559</v>
      </c>
      <c r="F651" s="140">
        <v>7.65</v>
      </c>
      <c r="G651" s="102"/>
      <c r="H651" s="140">
        <v>2.55</v>
      </c>
      <c r="I651" s="140">
        <f>F651*H651</f>
        <v>19.5075</v>
      </c>
      <c r="J651" s="102"/>
      <c r="K651" s="88"/>
      <c r="L651" s="89">
        <f t="shared" si="21"/>
        <v>19.5075</v>
      </c>
    </row>
    <row r="652" spans="2:12" ht="18" customHeight="1">
      <c r="B652" s="85"/>
      <c r="C652" s="126"/>
      <c r="D652" s="90"/>
      <c r="E652" s="102" t="s">
        <v>560</v>
      </c>
      <c r="F652" s="140">
        <v>10.9</v>
      </c>
      <c r="G652" s="102"/>
      <c r="H652" s="140">
        <v>2.55</v>
      </c>
      <c r="I652" s="140">
        <f aca="true" t="shared" si="22" ref="I652:I657">F652*H652</f>
        <v>27.794999999999998</v>
      </c>
      <c r="J652" s="102"/>
      <c r="K652" s="88"/>
      <c r="L652" s="89">
        <f t="shared" si="21"/>
        <v>27.794999999999998</v>
      </c>
    </row>
    <row r="653" spans="2:12" ht="18" customHeight="1">
      <c r="B653" s="85"/>
      <c r="C653" s="126"/>
      <c r="D653" s="90"/>
      <c r="E653" s="102" t="s">
        <v>561</v>
      </c>
      <c r="F653" s="140">
        <v>9.45</v>
      </c>
      <c r="G653" s="102"/>
      <c r="H653" s="140">
        <v>2.55</v>
      </c>
      <c r="I653" s="140">
        <f t="shared" si="22"/>
        <v>24.097499999999997</v>
      </c>
      <c r="J653" s="102"/>
      <c r="K653" s="88"/>
      <c r="L653" s="89">
        <f t="shared" si="21"/>
        <v>24.097499999999997</v>
      </c>
    </row>
    <row r="654" spans="2:12" ht="18" customHeight="1">
      <c r="B654" s="85"/>
      <c r="C654" s="126"/>
      <c r="D654" s="90"/>
      <c r="E654" s="102" t="s">
        <v>562</v>
      </c>
      <c r="F654" s="140">
        <v>10.1</v>
      </c>
      <c r="G654" s="102"/>
      <c r="H654" s="140">
        <v>2.55</v>
      </c>
      <c r="I654" s="140">
        <f t="shared" si="22"/>
        <v>25.755</v>
      </c>
      <c r="J654" s="102"/>
      <c r="K654" s="88"/>
      <c r="L654" s="89">
        <f t="shared" si="21"/>
        <v>25.755</v>
      </c>
    </row>
    <row r="655" spans="2:12" ht="18" customHeight="1">
      <c r="B655" s="85"/>
      <c r="C655" s="126"/>
      <c r="D655" s="90"/>
      <c r="E655" s="102" t="s">
        <v>563</v>
      </c>
      <c r="F655" s="140">
        <v>9.5</v>
      </c>
      <c r="G655" s="102"/>
      <c r="H655" s="140">
        <v>2.55</v>
      </c>
      <c r="I655" s="140">
        <f t="shared" si="22"/>
        <v>24.224999999999998</v>
      </c>
      <c r="J655" s="102"/>
      <c r="K655" s="88"/>
      <c r="L655" s="89">
        <f t="shared" si="21"/>
        <v>24.224999999999998</v>
      </c>
    </row>
    <row r="656" spans="2:12" ht="18" customHeight="1">
      <c r="B656" s="85"/>
      <c r="C656" s="126"/>
      <c r="D656" s="90"/>
      <c r="E656" s="102" t="s">
        <v>564</v>
      </c>
      <c r="F656" s="140">
        <v>9.1</v>
      </c>
      <c r="G656" s="102"/>
      <c r="H656" s="140">
        <v>2.55</v>
      </c>
      <c r="I656" s="140">
        <f t="shared" si="22"/>
        <v>23.205</v>
      </c>
      <c r="J656" s="102"/>
      <c r="K656" s="88"/>
      <c r="L656" s="89">
        <f t="shared" si="21"/>
        <v>23.205</v>
      </c>
    </row>
    <row r="657" spans="2:12" ht="18" customHeight="1">
      <c r="B657" s="85"/>
      <c r="C657" s="126"/>
      <c r="D657" s="90"/>
      <c r="E657" s="102" t="s">
        <v>565</v>
      </c>
      <c r="F657" s="140">
        <f>37.2</f>
        <v>37.2</v>
      </c>
      <c r="G657" s="102"/>
      <c r="H657" s="140">
        <v>2.7</v>
      </c>
      <c r="I657" s="140">
        <f t="shared" si="22"/>
        <v>100.44000000000001</v>
      </c>
      <c r="J657" s="102"/>
      <c r="K657" s="88"/>
      <c r="L657" s="89">
        <f>I657+7*0.79</f>
        <v>105.97000000000001</v>
      </c>
    </row>
    <row r="658" spans="2:12" ht="18" customHeight="1">
      <c r="B658" s="85"/>
      <c r="C658" s="126"/>
      <c r="D658" s="90"/>
      <c r="E658" s="102"/>
      <c r="F658" s="102"/>
      <c r="G658" s="102"/>
      <c r="H658" s="102"/>
      <c r="I658" s="102"/>
      <c r="J658" s="102"/>
      <c r="K658" s="102"/>
      <c r="L658" s="99">
        <f>SUM(L648:L657)-86.82</f>
        <v>496.7615</v>
      </c>
    </row>
    <row r="659" spans="2:12" ht="36">
      <c r="B659" s="291" t="str">
        <f>Orçamento!B286</f>
        <v>16.9.8</v>
      </c>
      <c r="C659" s="109" t="str">
        <f>Orçamento!C286</f>
        <v>Pintura esmalte sintético para madeira, duas demãos, sobre fundo branco</v>
      </c>
      <c r="D659" s="82" t="s">
        <v>39</v>
      </c>
      <c r="E659" s="81"/>
      <c r="F659" s="81"/>
      <c r="G659" s="81"/>
      <c r="H659" s="81"/>
      <c r="I659" s="81"/>
      <c r="J659" s="81"/>
      <c r="K659" s="81"/>
      <c r="L659" s="84"/>
    </row>
    <row r="660" spans="2:12" ht="18" customHeight="1">
      <c r="B660" s="85"/>
      <c r="C660" s="126"/>
      <c r="D660" s="90"/>
      <c r="E660" s="126" t="s">
        <v>1051</v>
      </c>
      <c r="F660" s="131"/>
      <c r="G660" s="88">
        <v>0.6</v>
      </c>
      <c r="H660" s="88">
        <f>2.1-0.85</f>
        <v>1.25</v>
      </c>
      <c r="I660" s="140">
        <f>G660*H660*2</f>
        <v>1.5</v>
      </c>
      <c r="J660" s="131"/>
      <c r="K660" s="88">
        <v>2</v>
      </c>
      <c r="L660" s="89">
        <f aca="true" t="shared" si="23" ref="L660:L666">I660*K660</f>
        <v>3</v>
      </c>
    </row>
    <row r="661" spans="2:12" ht="18" customHeight="1">
      <c r="B661" s="85"/>
      <c r="C661" s="126"/>
      <c r="D661" s="90"/>
      <c r="E661" s="126" t="s">
        <v>1052</v>
      </c>
      <c r="F661" s="131"/>
      <c r="G661" s="88">
        <v>0.7</v>
      </c>
      <c r="H661" s="88">
        <f>2.1-0.85</f>
        <v>1.25</v>
      </c>
      <c r="I661" s="140">
        <f>G661*H661*2</f>
        <v>1.75</v>
      </c>
      <c r="J661" s="131"/>
      <c r="K661" s="88">
        <v>2</v>
      </c>
      <c r="L661" s="89">
        <f t="shared" si="23"/>
        <v>3.5</v>
      </c>
    </row>
    <row r="662" spans="2:12" ht="18" customHeight="1">
      <c r="B662" s="85"/>
      <c r="C662" s="126"/>
      <c r="D662" s="90"/>
      <c r="E662" s="126" t="s">
        <v>1053</v>
      </c>
      <c r="F662" s="131"/>
      <c r="G662" s="88">
        <v>0.8</v>
      </c>
      <c r="H662" s="88">
        <f>2.1-0.85</f>
        <v>1.25</v>
      </c>
      <c r="I662" s="140">
        <f>G662*H662*2</f>
        <v>2</v>
      </c>
      <c r="J662" s="131"/>
      <c r="K662" s="88">
        <v>7</v>
      </c>
      <c r="L662" s="89">
        <f t="shared" si="23"/>
        <v>14</v>
      </c>
    </row>
    <row r="663" spans="2:12" ht="18" customHeight="1">
      <c r="B663" s="85"/>
      <c r="C663" s="126"/>
      <c r="D663" s="90"/>
      <c r="E663" s="126" t="s">
        <v>1054</v>
      </c>
      <c r="F663" s="131"/>
      <c r="G663" s="131"/>
      <c r="H663" s="131"/>
      <c r="I663" s="140">
        <v>9.13</v>
      </c>
      <c r="J663" s="131"/>
      <c r="K663" s="88">
        <v>2</v>
      </c>
      <c r="L663" s="89">
        <f t="shared" si="23"/>
        <v>18.26</v>
      </c>
    </row>
    <row r="664" spans="2:12" ht="18" customHeight="1">
      <c r="B664" s="85"/>
      <c r="C664" s="126"/>
      <c r="D664" s="90"/>
      <c r="E664" s="126" t="s">
        <v>1078</v>
      </c>
      <c r="F664" s="88">
        <f>2.1*2+0.6</f>
        <v>4.8</v>
      </c>
      <c r="G664" s="88">
        <v>0.2</v>
      </c>
      <c r="H664" s="131"/>
      <c r="I664" s="140">
        <f>F664*G664</f>
        <v>0.96</v>
      </c>
      <c r="J664" s="131"/>
      <c r="K664" s="88">
        <v>2</v>
      </c>
      <c r="L664" s="89">
        <f t="shared" si="23"/>
        <v>1.92</v>
      </c>
    </row>
    <row r="665" spans="2:12" ht="18" customHeight="1">
      <c r="B665" s="85"/>
      <c r="C665" s="126"/>
      <c r="D665" s="90"/>
      <c r="E665" s="126" t="s">
        <v>1079</v>
      </c>
      <c r="F665" s="88">
        <f>2.1*2+0.7</f>
        <v>4.9</v>
      </c>
      <c r="G665" s="88">
        <v>0.2</v>
      </c>
      <c r="H665" s="131"/>
      <c r="I665" s="140">
        <f>F665*G665</f>
        <v>0.9800000000000001</v>
      </c>
      <c r="J665" s="131"/>
      <c r="K665" s="88">
        <v>2</v>
      </c>
      <c r="L665" s="89">
        <f t="shared" si="23"/>
        <v>1.9600000000000002</v>
      </c>
    </row>
    <row r="666" spans="2:12" ht="18" customHeight="1">
      <c r="B666" s="85"/>
      <c r="C666" s="126"/>
      <c r="D666" s="90"/>
      <c r="E666" s="126" t="s">
        <v>1080</v>
      </c>
      <c r="F666" s="88">
        <f>2.1*2+0.8</f>
        <v>5</v>
      </c>
      <c r="G666" s="88">
        <v>0.2</v>
      </c>
      <c r="H666" s="131"/>
      <c r="I666" s="140">
        <f>F666*G666</f>
        <v>1</v>
      </c>
      <c r="J666" s="131"/>
      <c r="K666" s="88">
        <v>7</v>
      </c>
      <c r="L666" s="89">
        <f t="shared" si="23"/>
        <v>7</v>
      </c>
    </row>
    <row r="667" spans="2:12" ht="18" customHeight="1">
      <c r="B667" s="91"/>
      <c r="C667" s="113"/>
      <c r="D667" s="96"/>
      <c r="E667" s="125"/>
      <c r="F667" s="114"/>
      <c r="G667" s="114"/>
      <c r="H667" s="114"/>
      <c r="I667" s="114"/>
      <c r="J667" s="114"/>
      <c r="K667" s="114"/>
      <c r="L667" s="97">
        <f>SUM(L660:L666)</f>
        <v>49.64000000000001</v>
      </c>
    </row>
    <row r="668" spans="2:12" ht="18" customHeight="1">
      <c r="B668" s="608" t="str">
        <f>Orçamento!B278</f>
        <v>16.9</v>
      </c>
      <c r="C668" s="424" t="str">
        <f>Orçamento!C278</f>
        <v>Interligação com hospital e muro</v>
      </c>
      <c r="D668" s="636"/>
      <c r="E668" s="433"/>
      <c r="F668" s="433"/>
      <c r="G668" s="433"/>
      <c r="H668" s="433"/>
      <c r="I668" s="433"/>
      <c r="J668" s="433"/>
      <c r="K668" s="433"/>
      <c r="L668" s="427"/>
    </row>
    <row r="669" spans="2:12" ht="18">
      <c r="B669" s="108" t="str">
        <f>Orçamento!B279</f>
        <v>16.9.1</v>
      </c>
      <c r="C669" s="109" t="str">
        <f>Orçamento!C279</f>
        <v>Fundo selador acrílico, uma demão</v>
      </c>
      <c r="D669" s="82" t="s">
        <v>39</v>
      </c>
      <c r="E669" s="81"/>
      <c r="F669" s="81"/>
      <c r="G669" s="81"/>
      <c r="H669" s="81"/>
      <c r="I669" s="81"/>
      <c r="J669" s="81"/>
      <c r="K669" s="81"/>
      <c r="L669" s="84"/>
    </row>
    <row r="670" spans="2:12" ht="18">
      <c r="B670" s="130"/>
      <c r="C670" s="126"/>
      <c r="D670" s="90"/>
      <c r="E670" s="102" t="s">
        <v>932</v>
      </c>
      <c r="F670" s="140">
        <f>82+5</f>
        <v>87</v>
      </c>
      <c r="G670" s="102"/>
      <c r="H670" s="140">
        <v>3</v>
      </c>
      <c r="I670" s="140">
        <f>F670*H670</f>
        <v>261</v>
      </c>
      <c r="J670" s="102"/>
      <c r="K670" s="102"/>
      <c r="L670" s="89">
        <f>I670</f>
        <v>261</v>
      </c>
    </row>
    <row r="671" spans="2:12" ht="18">
      <c r="B671" s="130"/>
      <c r="C671" s="126"/>
      <c r="D671" s="90"/>
      <c r="E671" s="102" t="s">
        <v>933</v>
      </c>
      <c r="F671" s="140">
        <v>59.06</v>
      </c>
      <c r="G671" s="102"/>
      <c r="H671" s="140">
        <v>4.04</v>
      </c>
      <c r="I671" s="140">
        <f>F671*H671</f>
        <v>238.60240000000002</v>
      </c>
      <c r="J671" s="102"/>
      <c r="K671" s="102"/>
      <c r="L671" s="89">
        <f>I671</f>
        <v>238.60240000000002</v>
      </c>
    </row>
    <row r="672" spans="2:12" ht="18">
      <c r="B672" s="130"/>
      <c r="C672" s="126"/>
      <c r="D672" s="90"/>
      <c r="E672" s="102" t="s">
        <v>933</v>
      </c>
      <c r="F672" s="140">
        <v>6</v>
      </c>
      <c r="G672" s="102"/>
      <c r="H672" s="140">
        <v>1.07</v>
      </c>
      <c r="I672" s="140">
        <f>F672*H672</f>
        <v>6.42</v>
      </c>
      <c r="J672" s="102"/>
      <c r="K672" s="102"/>
      <c r="L672" s="89">
        <f>I672</f>
        <v>6.42</v>
      </c>
    </row>
    <row r="673" spans="2:12" ht="18">
      <c r="B673" s="130"/>
      <c r="C673" s="126"/>
      <c r="D673" s="90"/>
      <c r="E673" s="102" t="s">
        <v>764</v>
      </c>
      <c r="F673" s="140">
        <v>11.91</v>
      </c>
      <c r="G673" s="102"/>
      <c r="H673" s="140">
        <v>3</v>
      </c>
      <c r="I673" s="140">
        <f>F673*H673</f>
        <v>35.730000000000004</v>
      </c>
      <c r="J673" s="102"/>
      <c r="K673" s="140">
        <v>2</v>
      </c>
      <c r="L673" s="142">
        <f>I673*K673</f>
        <v>71.46000000000001</v>
      </c>
    </row>
    <row r="674" spans="2:12" ht="18">
      <c r="B674" s="115"/>
      <c r="C674" s="113"/>
      <c r="D674" s="96"/>
      <c r="E674" s="94"/>
      <c r="F674" s="94"/>
      <c r="G674" s="94"/>
      <c r="H674" s="94"/>
      <c r="I674" s="94"/>
      <c r="J674" s="94"/>
      <c r="K674" s="94"/>
      <c r="L674" s="97">
        <f>SUM(L670:L673)</f>
        <v>577.4824</v>
      </c>
    </row>
    <row r="675" spans="2:12" ht="36">
      <c r="B675" s="108" t="str">
        <f>Orçamento!B280</f>
        <v>16.9.2</v>
      </c>
      <c r="C675" s="109" t="str">
        <f>Orçamento!C280</f>
        <v>Aplicação e lixamento de massa látex em paredes, duas demãos</v>
      </c>
      <c r="D675" s="82" t="s">
        <v>39</v>
      </c>
      <c r="E675" s="81"/>
      <c r="F675" s="81"/>
      <c r="G675" s="81"/>
      <c r="H675" s="81"/>
      <c r="I675" s="81"/>
      <c r="J675" s="81"/>
      <c r="K675" s="81"/>
      <c r="L675" s="84"/>
    </row>
    <row r="676" spans="2:12" ht="18">
      <c r="B676" s="130"/>
      <c r="C676" s="126"/>
      <c r="D676" s="90"/>
      <c r="E676" s="102" t="s">
        <v>932</v>
      </c>
      <c r="F676" s="140">
        <v>87</v>
      </c>
      <c r="G676" s="102"/>
      <c r="H676" s="140">
        <v>3</v>
      </c>
      <c r="I676" s="140">
        <f>F676*H676</f>
        <v>261</v>
      </c>
      <c r="J676" s="102"/>
      <c r="K676" s="102"/>
      <c r="L676" s="89">
        <f>I676</f>
        <v>261</v>
      </c>
    </row>
    <row r="677" spans="2:12" ht="18">
      <c r="B677" s="115"/>
      <c r="C677" s="113"/>
      <c r="D677" s="96"/>
      <c r="E677" s="94"/>
      <c r="F677" s="94"/>
      <c r="G677" s="94"/>
      <c r="H677" s="94"/>
      <c r="I677" s="94"/>
      <c r="J677" s="94"/>
      <c r="K677" s="94"/>
      <c r="L677" s="97">
        <f>SUM(L676)</f>
        <v>261</v>
      </c>
    </row>
    <row r="678" spans="2:12" ht="54">
      <c r="B678" s="108" t="str">
        <f>Orçamento!B281</f>
        <v>16.9.3</v>
      </c>
      <c r="C678" s="109" t="str">
        <f>Orçamento!C281</f>
        <v>Aplicação manual de pintura com tinta hospitalar acrílica, acabamento  acetinada em paredes, sem odor, duas demãos</v>
      </c>
      <c r="D678" s="82" t="s">
        <v>39</v>
      </c>
      <c r="E678" s="81"/>
      <c r="F678" s="81"/>
      <c r="G678" s="81"/>
      <c r="H678" s="81"/>
      <c r="I678" s="81"/>
      <c r="J678" s="81"/>
      <c r="K678" s="81"/>
      <c r="L678" s="84"/>
    </row>
    <row r="679" spans="2:12" ht="18">
      <c r="B679" s="130"/>
      <c r="C679" s="126"/>
      <c r="D679" s="90"/>
      <c r="E679" s="102" t="s">
        <v>932</v>
      </c>
      <c r="F679" s="140">
        <v>87</v>
      </c>
      <c r="G679" s="102"/>
      <c r="H679" s="140">
        <v>3</v>
      </c>
      <c r="I679" s="140">
        <f>F679*H679</f>
        <v>261</v>
      </c>
      <c r="J679" s="102"/>
      <c r="K679" s="102"/>
      <c r="L679" s="89">
        <f>I679</f>
        <v>261</v>
      </c>
    </row>
    <row r="680" spans="2:12" ht="18">
      <c r="B680" s="115"/>
      <c r="C680" s="113"/>
      <c r="D680" s="96"/>
      <c r="E680" s="94"/>
      <c r="F680" s="94"/>
      <c r="G680" s="94"/>
      <c r="H680" s="94"/>
      <c r="I680" s="94"/>
      <c r="J680" s="94"/>
      <c r="K680" s="94"/>
      <c r="L680" s="97">
        <f>SUM(L679)</f>
        <v>261</v>
      </c>
    </row>
    <row r="681" spans="2:12" ht="36">
      <c r="B681" s="108" t="str">
        <f>Orçamento!B282</f>
        <v>16.9.4</v>
      </c>
      <c r="C681" s="109" t="str">
        <f>Orçamento!C282</f>
        <v>Aplicação de fundo selador látex PVA em teto, uma demão</v>
      </c>
      <c r="D681" s="82" t="s">
        <v>39</v>
      </c>
      <c r="E681" s="81"/>
      <c r="F681" s="81"/>
      <c r="G681" s="81"/>
      <c r="H681" s="81"/>
      <c r="I681" s="81"/>
      <c r="J681" s="81"/>
      <c r="K681" s="81"/>
      <c r="L681" s="84"/>
    </row>
    <row r="682" spans="2:12" ht="18">
      <c r="B682" s="130"/>
      <c r="C682" s="126"/>
      <c r="D682" s="90"/>
      <c r="E682" s="102" t="s">
        <v>767</v>
      </c>
      <c r="F682" s="102"/>
      <c r="G682" s="88"/>
      <c r="H682" s="88"/>
      <c r="I682" s="88">
        <v>87.18</v>
      </c>
      <c r="J682" s="102"/>
      <c r="K682" s="102"/>
      <c r="L682" s="89">
        <f>I682</f>
        <v>87.18</v>
      </c>
    </row>
    <row r="683" spans="2:12" ht="18">
      <c r="B683" s="115"/>
      <c r="C683" s="113"/>
      <c r="D683" s="96"/>
      <c r="E683" s="94"/>
      <c r="F683" s="94"/>
      <c r="G683" s="95"/>
      <c r="H683" s="95"/>
      <c r="I683" s="95"/>
      <c r="J683" s="94"/>
      <c r="K683" s="94"/>
      <c r="L683" s="97">
        <f>SUM(L682)</f>
        <v>87.18</v>
      </c>
    </row>
    <row r="684" spans="2:12" ht="36">
      <c r="B684" s="108" t="str">
        <f>Orçamento!B283</f>
        <v>16.9.5</v>
      </c>
      <c r="C684" s="109" t="str">
        <f>Orçamento!C283</f>
        <v>Aplicação e lixamento de massa látex em teto, duas demãos</v>
      </c>
      <c r="D684" s="82"/>
      <c r="E684" s="81"/>
      <c r="F684" s="81"/>
      <c r="G684" s="81"/>
      <c r="H684" s="81"/>
      <c r="I684" s="81"/>
      <c r="J684" s="81"/>
      <c r="K684" s="81"/>
      <c r="L684" s="84"/>
    </row>
    <row r="685" spans="2:12" ht="18">
      <c r="B685" s="130"/>
      <c r="C685" s="126"/>
      <c r="D685" s="90"/>
      <c r="E685" s="102" t="s">
        <v>767</v>
      </c>
      <c r="F685" s="102"/>
      <c r="G685" s="88"/>
      <c r="H685" s="88"/>
      <c r="I685" s="88">
        <v>87.18</v>
      </c>
      <c r="J685" s="102"/>
      <c r="K685" s="102"/>
      <c r="L685" s="89">
        <f>I685</f>
        <v>87.18</v>
      </c>
    </row>
    <row r="686" spans="2:12" ht="18">
      <c r="B686" s="115"/>
      <c r="C686" s="113"/>
      <c r="D686" s="96"/>
      <c r="E686" s="94"/>
      <c r="F686" s="94"/>
      <c r="G686" s="95"/>
      <c r="H686" s="95"/>
      <c r="I686" s="95"/>
      <c r="J686" s="94"/>
      <c r="K686" s="94"/>
      <c r="L686" s="97">
        <f>SUM(L685)</f>
        <v>87.18</v>
      </c>
    </row>
    <row r="687" spans="2:12" ht="36">
      <c r="B687" s="108" t="str">
        <f>Orçamento!B284</f>
        <v>16.9.6</v>
      </c>
      <c r="C687" s="109" t="str">
        <f>Orçamento!C284</f>
        <v>Aplicação manual de pintura com tinta látex PVA em teto, duas demãos</v>
      </c>
      <c r="D687" s="82" t="s">
        <v>39</v>
      </c>
      <c r="E687" s="81"/>
      <c r="F687" s="81"/>
      <c r="G687" s="81"/>
      <c r="H687" s="81"/>
      <c r="I687" s="81"/>
      <c r="J687" s="81"/>
      <c r="K687" s="81"/>
      <c r="L687" s="84"/>
    </row>
    <row r="688" spans="2:12" ht="18">
      <c r="B688" s="130"/>
      <c r="C688" s="126"/>
      <c r="D688" s="90"/>
      <c r="E688" s="102" t="s">
        <v>767</v>
      </c>
      <c r="F688" s="102"/>
      <c r="G688" s="88"/>
      <c r="H688" s="88"/>
      <c r="I688" s="88">
        <v>87.18</v>
      </c>
      <c r="J688" s="102"/>
      <c r="K688" s="102"/>
      <c r="L688" s="89">
        <f>I688</f>
        <v>87.18</v>
      </c>
    </row>
    <row r="689" spans="2:12" ht="18">
      <c r="B689" s="130"/>
      <c r="C689" s="126"/>
      <c r="D689" s="90"/>
      <c r="E689" s="102"/>
      <c r="F689" s="102"/>
      <c r="G689" s="88"/>
      <c r="H689" s="88"/>
      <c r="I689" s="88"/>
      <c r="J689" s="102"/>
      <c r="K689" s="102"/>
      <c r="L689" s="99">
        <f>SUM(L688)</f>
        <v>87.18</v>
      </c>
    </row>
    <row r="690" spans="2:12" ht="36">
      <c r="B690" s="108" t="str">
        <f>Orçamento!B285</f>
        <v>16.9.7</v>
      </c>
      <c r="C690" s="109" t="str">
        <f>Orçamento!C285</f>
        <v>Aplicação manual de pintura com tinta texturizada acrílica em paredes</v>
      </c>
      <c r="D690" s="82" t="s">
        <v>39</v>
      </c>
      <c r="E690" s="81"/>
      <c r="F690" s="81"/>
      <c r="G690" s="81"/>
      <c r="H690" s="81"/>
      <c r="I690" s="81"/>
      <c r="J690" s="81"/>
      <c r="K690" s="81"/>
      <c r="L690" s="84"/>
    </row>
    <row r="691" spans="2:12" ht="18">
      <c r="B691" s="130"/>
      <c r="C691" s="126"/>
      <c r="D691" s="90"/>
      <c r="E691" s="102" t="s">
        <v>933</v>
      </c>
      <c r="F691" s="140">
        <v>59.06</v>
      </c>
      <c r="G691" s="102"/>
      <c r="H691" s="140">
        <v>4.04</v>
      </c>
      <c r="I691" s="140">
        <f>F691*H691</f>
        <v>238.60240000000002</v>
      </c>
      <c r="J691" s="102"/>
      <c r="K691" s="102"/>
      <c r="L691" s="89">
        <f>I691</f>
        <v>238.60240000000002</v>
      </c>
    </row>
    <row r="692" spans="2:12" ht="18">
      <c r="B692" s="130"/>
      <c r="C692" s="126"/>
      <c r="D692" s="90"/>
      <c r="E692" s="102" t="s">
        <v>933</v>
      </c>
      <c r="F692" s="140">
        <v>6</v>
      </c>
      <c r="G692" s="102"/>
      <c r="H692" s="140">
        <v>1.07</v>
      </c>
      <c r="I692" s="140">
        <f>F692*H692</f>
        <v>6.42</v>
      </c>
      <c r="J692" s="102"/>
      <c r="K692" s="102"/>
      <c r="L692" s="89">
        <f>I692</f>
        <v>6.42</v>
      </c>
    </row>
    <row r="693" spans="2:12" ht="18">
      <c r="B693" s="130"/>
      <c r="C693" s="126"/>
      <c r="D693" s="90"/>
      <c r="E693" s="102" t="s">
        <v>764</v>
      </c>
      <c r="F693" s="140">
        <v>11.91</v>
      </c>
      <c r="G693" s="102"/>
      <c r="H693" s="140">
        <v>3</v>
      </c>
      <c r="I693" s="140">
        <f>F693*H693</f>
        <v>35.730000000000004</v>
      </c>
      <c r="J693" s="102"/>
      <c r="K693" s="140">
        <v>2</v>
      </c>
      <c r="L693" s="142">
        <f>I693*K693</f>
        <v>71.46000000000001</v>
      </c>
    </row>
    <row r="694" spans="2:12" ht="18">
      <c r="B694" s="130"/>
      <c r="C694" s="126"/>
      <c r="D694" s="90"/>
      <c r="E694" s="102"/>
      <c r="F694" s="140"/>
      <c r="G694" s="102"/>
      <c r="H694" s="140"/>
      <c r="I694" s="140"/>
      <c r="J694" s="102"/>
      <c r="K694" s="140"/>
      <c r="L694" s="99">
        <f>SUM(L690:L693)</f>
        <v>316.4824</v>
      </c>
    </row>
    <row r="695" spans="2:12" ht="36">
      <c r="B695" s="108" t="str">
        <f>Orçamento!B286</f>
        <v>16.9.8</v>
      </c>
      <c r="C695" s="109" t="str">
        <f>Orçamento!C286</f>
        <v>Pintura esmalte sintético para madeira, duas demãos, sobre fundo branco</v>
      </c>
      <c r="D695" s="82" t="s">
        <v>39</v>
      </c>
      <c r="E695" s="81"/>
      <c r="F695" s="81"/>
      <c r="G695" s="81"/>
      <c r="H695" s="81"/>
      <c r="I695" s="81"/>
      <c r="J695" s="81"/>
      <c r="K695" s="81"/>
      <c r="L695" s="638"/>
    </row>
    <row r="696" spans="2:12" ht="18" customHeight="1">
      <c r="B696" s="85"/>
      <c r="C696" s="126"/>
      <c r="D696" s="90"/>
      <c r="E696" s="102" t="s">
        <v>817</v>
      </c>
      <c r="F696" s="102"/>
      <c r="G696" s="140">
        <v>1.6</v>
      </c>
      <c r="H696" s="140">
        <f>2.1-0.85</f>
        <v>1.25</v>
      </c>
      <c r="I696" s="140">
        <f>G696*H696*2</f>
        <v>4</v>
      </c>
      <c r="J696" s="102"/>
      <c r="K696" s="140">
        <v>2</v>
      </c>
      <c r="L696" s="89">
        <f>K696*I696</f>
        <v>8</v>
      </c>
    </row>
    <row r="697" spans="2:12" ht="18" customHeight="1">
      <c r="B697" s="85"/>
      <c r="C697" s="126"/>
      <c r="D697" s="90"/>
      <c r="E697" s="102" t="s">
        <v>1081</v>
      </c>
      <c r="F697" s="140">
        <f>2.1*2+1.6</f>
        <v>5.800000000000001</v>
      </c>
      <c r="G697" s="140">
        <v>0.2</v>
      </c>
      <c r="H697" s="140"/>
      <c r="I697" s="140">
        <f>F697*G697</f>
        <v>1.1600000000000001</v>
      </c>
      <c r="J697" s="102"/>
      <c r="K697" s="140">
        <v>2</v>
      </c>
      <c r="L697" s="89">
        <f>K697*I697</f>
        <v>2.3200000000000003</v>
      </c>
    </row>
    <row r="698" spans="2:12" ht="18" customHeight="1">
      <c r="B698" s="91"/>
      <c r="C698" s="113"/>
      <c r="D698" s="96"/>
      <c r="E698" s="94"/>
      <c r="F698" s="94"/>
      <c r="G698" s="94"/>
      <c r="H698" s="94"/>
      <c r="I698" s="94"/>
      <c r="J698" s="94"/>
      <c r="K698" s="94"/>
      <c r="L698" s="97">
        <f>SUM(L696:L697)</f>
        <v>10.32</v>
      </c>
    </row>
    <row r="699" spans="2:12" ht="18">
      <c r="B699" s="376" t="str">
        <f>Orçamento!B323</f>
        <v>19.00</v>
      </c>
      <c r="C699" s="75" t="str">
        <f>Orçamento!C323</f>
        <v>URBANIZAÇÃO</v>
      </c>
      <c r="D699" s="75"/>
      <c r="E699" s="76"/>
      <c r="F699" s="77"/>
      <c r="G699" s="77"/>
      <c r="H699" s="77"/>
      <c r="I699" s="77"/>
      <c r="J699" s="77"/>
      <c r="K699" s="77"/>
      <c r="L699" s="78"/>
    </row>
    <row r="700" spans="2:12" ht="54">
      <c r="B700" s="130" t="str">
        <f>Orçamento!B324</f>
        <v>19.1</v>
      </c>
      <c r="C700" s="109" t="str">
        <f>Orçamento!C324</f>
        <v>Cochão de areia para pavimentação em paralelepípedo ou blocos de concreto intertravados</v>
      </c>
      <c r="D700" s="82" t="s">
        <v>763</v>
      </c>
      <c r="E700" s="416"/>
      <c r="F700" s="83"/>
      <c r="G700" s="83"/>
      <c r="H700" s="83"/>
      <c r="I700" s="83"/>
      <c r="J700" s="83"/>
      <c r="K700" s="83"/>
      <c r="L700" s="84"/>
    </row>
    <row r="701" spans="2:12" ht="18">
      <c r="B701" s="85"/>
      <c r="C701" s="126"/>
      <c r="D701" s="90"/>
      <c r="E701" s="129" t="s">
        <v>1124</v>
      </c>
      <c r="F701" s="88"/>
      <c r="G701" s="88"/>
      <c r="H701" s="88">
        <v>0.4</v>
      </c>
      <c r="I701" s="88">
        <v>47.92</v>
      </c>
      <c r="J701" s="88">
        <f>H701*I701</f>
        <v>19.168000000000003</v>
      </c>
      <c r="K701" s="88"/>
      <c r="L701" s="89">
        <f>J701</f>
        <v>19.168000000000003</v>
      </c>
    </row>
    <row r="702" spans="2:12" ht="18">
      <c r="B702" s="91"/>
      <c r="C702" s="113"/>
      <c r="D702" s="96"/>
      <c r="E702" s="382"/>
      <c r="F702" s="95"/>
      <c r="G702" s="95"/>
      <c r="H702" s="95"/>
      <c r="I702" s="95"/>
      <c r="J702" s="95"/>
      <c r="K702" s="95"/>
      <c r="L702" s="97">
        <f>SUM(L701)</f>
        <v>19.168000000000003</v>
      </c>
    </row>
    <row r="703" spans="2:12" ht="36">
      <c r="B703" s="130" t="str">
        <f>Orçamento!B325</f>
        <v>19.2</v>
      </c>
      <c r="C703" s="126" t="str">
        <f>Orçamento!C325</f>
        <v>Piso Intertravado Tipo Tijolinho (19,9X10X4)cm cinza</v>
      </c>
      <c r="D703" s="90" t="s">
        <v>39</v>
      </c>
      <c r="E703" s="129"/>
      <c r="F703" s="88"/>
      <c r="G703" s="88"/>
      <c r="H703" s="88"/>
      <c r="I703" s="88"/>
      <c r="J703" s="88"/>
      <c r="K703" s="88"/>
      <c r="L703" s="99"/>
    </row>
    <row r="704" spans="2:12" ht="18" customHeight="1">
      <c r="B704" s="85"/>
      <c r="C704" s="126"/>
      <c r="D704" s="90"/>
      <c r="E704" s="129" t="s">
        <v>1124</v>
      </c>
      <c r="F704" s="88"/>
      <c r="G704" s="88"/>
      <c r="H704" s="88"/>
      <c r="I704" s="88">
        <v>47.92</v>
      </c>
      <c r="J704" s="88"/>
      <c r="K704" s="88"/>
      <c r="L704" s="89">
        <f>I704</f>
        <v>47.92</v>
      </c>
    </row>
    <row r="705" spans="2:12" ht="18" customHeight="1">
      <c r="B705" s="91"/>
      <c r="C705" s="113"/>
      <c r="D705" s="96"/>
      <c r="E705" s="382"/>
      <c r="F705" s="95"/>
      <c r="G705" s="95"/>
      <c r="H705" s="95"/>
      <c r="I705" s="95"/>
      <c r="J705" s="95"/>
      <c r="K705" s="95"/>
      <c r="L705" s="97">
        <f>SUM(L704)</f>
        <v>47.92</v>
      </c>
    </row>
    <row r="706" spans="2:12" ht="18" customHeight="1">
      <c r="B706" s="108" t="str">
        <f>Orçamento!B326</f>
        <v>19.3</v>
      </c>
      <c r="C706" s="109" t="str">
        <f>Orçamento!C326</f>
        <v>Plantio de Grama</v>
      </c>
      <c r="D706" s="189" t="s">
        <v>39</v>
      </c>
      <c r="E706" s="100"/>
      <c r="F706" s="83"/>
      <c r="G706" s="83"/>
      <c r="H706" s="83"/>
      <c r="I706" s="394"/>
      <c r="J706" s="639"/>
      <c r="K706" s="639"/>
      <c r="L706" s="84"/>
    </row>
    <row r="707" spans="2:12" ht="18" customHeight="1">
      <c r="B707" s="294"/>
      <c r="C707" s="184"/>
      <c r="D707" s="184"/>
      <c r="E707" s="129" t="s">
        <v>1124</v>
      </c>
      <c r="F707" s="88"/>
      <c r="G707" s="88"/>
      <c r="H707" s="88"/>
      <c r="I707" s="88">
        <v>118.61</v>
      </c>
      <c r="J707" s="184"/>
      <c r="K707" s="184"/>
      <c r="L707" s="89">
        <f>I707</f>
        <v>118.61</v>
      </c>
    </row>
    <row r="708" spans="2:12" ht="18" customHeight="1">
      <c r="B708" s="294"/>
      <c r="C708" s="184"/>
      <c r="D708" s="184"/>
      <c r="E708" s="98" t="s">
        <v>975</v>
      </c>
      <c r="F708" s="88"/>
      <c r="G708" s="88"/>
      <c r="H708" s="88"/>
      <c r="I708" s="88">
        <v>17.03</v>
      </c>
      <c r="J708" s="184"/>
      <c r="K708" s="184"/>
      <c r="L708" s="89">
        <f>I708</f>
        <v>17.03</v>
      </c>
    </row>
    <row r="709" spans="2:12" ht="18" customHeight="1">
      <c r="B709" s="294"/>
      <c r="C709" s="184"/>
      <c r="D709" s="184"/>
      <c r="E709" s="98" t="s">
        <v>1062</v>
      </c>
      <c r="F709" s="88">
        <v>2.4</v>
      </c>
      <c r="G709" s="88">
        <v>1.2</v>
      </c>
      <c r="H709" s="88"/>
      <c r="I709" s="143">
        <f>F709*G709</f>
        <v>2.88</v>
      </c>
      <c r="J709" s="184"/>
      <c r="K709" s="140">
        <v>3</v>
      </c>
      <c r="L709" s="89">
        <f>I709*K709</f>
        <v>8.64</v>
      </c>
    </row>
    <row r="710" spans="2:12" ht="18" customHeight="1">
      <c r="B710" s="294"/>
      <c r="C710" s="184"/>
      <c r="D710" s="184"/>
      <c r="E710" s="98" t="s">
        <v>1063</v>
      </c>
      <c r="F710" s="88">
        <v>2.25</v>
      </c>
      <c r="G710" s="88">
        <v>1.2</v>
      </c>
      <c r="H710" s="88"/>
      <c r="I710" s="143">
        <f>F710*G710</f>
        <v>2.6999999999999997</v>
      </c>
      <c r="J710" s="184"/>
      <c r="K710" s="140">
        <v>3</v>
      </c>
      <c r="L710" s="89">
        <f>I710*K710</f>
        <v>8.1</v>
      </c>
    </row>
    <row r="711" spans="2:12" ht="18" customHeight="1">
      <c r="B711" s="395"/>
      <c r="C711" s="396"/>
      <c r="D711" s="396"/>
      <c r="E711" s="101"/>
      <c r="F711" s="95"/>
      <c r="G711" s="95"/>
      <c r="H711" s="95"/>
      <c r="I711" s="147"/>
      <c r="J711" s="396"/>
      <c r="K711" s="396"/>
      <c r="L711" s="97">
        <f>SUM(L707:L710)</f>
        <v>152.37999999999997</v>
      </c>
    </row>
    <row r="712" spans="2:12" ht="18" customHeight="1">
      <c r="B712" s="108" t="str">
        <f>Orçamento!B327</f>
        <v>19.4</v>
      </c>
      <c r="C712" s="109" t="str">
        <f>Orçamento!C327</f>
        <v>Banco de madeira c/assento fixado em concreto e encosto fixado em tubo de aço galvanizado</v>
      </c>
      <c r="D712" s="189" t="s">
        <v>1125</v>
      </c>
      <c r="E712" s="100"/>
      <c r="F712" s="83"/>
      <c r="G712" s="83"/>
      <c r="H712" s="83"/>
      <c r="I712" s="394"/>
      <c r="J712" s="639"/>
      <c r="K712" s="639"/>
      <c r="L712" s="84"/>
    </row>
    <row r="713" spans="2:12" ht="18" customHeight="1">
      <c r="B713" s="294"/>
      <c r="C713" s="184"/>
      <c r="D713" s="184"/>
      <c r="E713" s="129" t="s">
        <v>1124</v>
      </c>
      <c r="F713" s="88"/>
      <c r="G713" s="88"/>
      <c r="H713" s="88"/>
      <c r="I713" s="143"/>
      <c r="J713" s="184"/>
      <c r="K713" s="140">
        <v>2</v>
      </c>
      <c r="L713" s="89">
        <f>K713</f>
        <v>2</v>
      </c>
    </row>
    <row r="714" spans="2:12" ht="18" customHeight="1">
      <c r="B714" s="395"/>
      <c r="C714" s="396"/>
      <c r="D714" s="396"/>
      <c r="E714" s="101"/>
      <c r="F714" s="95"/>
      <c r="G714" s="95"/>
      <c r="H714" s="95"/>
      <c r="I714" s="147"/>
      <c r="J714" s="396"/>
      <c r="K714" s="396"/>
      <c r="L714" s="97">
        <f>SUM(L713)</f>
        <v>2</v>
      </c>
    </row>
    <row r="715" spans="2:12" ht="18" customHeight="1">
      <c r="B715" s="130" t="str">
        <f>Orçamento!B328</f>
        <v>19.5</v>
      </c>
      <c r="C715" s="126" t="str">
        <f>Orçamento!C328</f>
        <v>Meio-fio</v>
      </c>
      <c r="D715" s="90" t="s">
        <v>34</v>
      </c>
      <c r="E715" s="692"/>
      <c r="F715" s="102"/>
      <c r="G715" s="102"/>
      <c r="H715" s="102"/>
      <c r="I715" s="140"/>
      <c r="J715" s="102"/>
      <c r="K715" s="140"/>
      <c r="L715" s="89"/>
    </row>
    <row r="716" spans="2:12" ht="18" customHeight="1">
      <c r="B716" s="85"/>
      <c r="C716" s="126"/>
      <c r="D716" s="90"/>
      <c r="E716" s="129" t="s">
        <v>1124</v>
      </c>
      <c r="F716" s="88">
        <v>61.98</v>
      </c>
      <c r="G716" s="102"/>
      <c r="H716" s="102"/>
      <c r="I716" s="140"/>
      <c r="J716" s="102"/>
      <c r="K716" s="140"/>
      <c r="L716" s="89">
        <f>F716</f>
        <v>61.98</v>
      </c>
    </row>
    <row r="717" spans="2:12" ht="18" customHeight="1">
      <c r="B717" s="85"/>
      <c r="C717" s="126"/>
      <c r="D717" s="90"/>
      <c r="E717" s="129" t="s">
        <v>975</v>
      </c>
      <c r="F717" s="88">
        <v>13.9</v>
      </c>
      <c r="G717" s="102"/>
      <c r="H717" s="102"/>
      <c r="I717" s="140"/>
      <c r="J717" s="102"/>
      <c r="K717" s="140"/>
      <c r="L717" s="89">
        <f>F717</f>
        <v>13.9</v>
      </c>
    </row>
    <row r="718" spans="2:12" ht="18" customHeight="1">
      <c r="B718" s="85"/>
      <c r="C718" s="126"/>
      <c r="D718" s="90"/>
      <c r="E718" s="129" t="s">
        <v>1169</v>
      </c>
      <c r="F718" s="88">
        <v>31.25</v>
      </c>
      <c r="G718" s="102"/>
      <c r="H718" s="102"/>
      <c r="I718" s="140"/>
      <c r="J718" s="102"/>
      <c r="K718" s="140"/>
      <c r="L718" s="89">
        <f>F718</f>
        <v>31.25</v>
      </c>
    </row>
    <row r="719" spans="2:12" ht="18" customHeight="1">
      <c r="B719" s="85"/>
      <c r="C719" s="126"/>
      <c r="D719" s="90"/>
      <c r="E719" s="102"/>
      <c r="F719" s="102"/>
      <c r="G719" s="102"/>
      <c r="H719" s="102"/>
      <c r="I719" s="102"/>
      <c r="J719" s="102"/>
      <c r="K719" s="102"/>
      <c r="L719" s="99">
        <f>SUM(L715:L718)</f>
        <v>107.13</v>
      </c>
    </row>
    <row r="720" spans="2:12" ht="18" customHeight="1">
      <c r="B720" s="74" t="str">
        <f>Orçamento!B329</f>
        <v>20.00</v>
      </c>
      <c r="C720" s="75" t="str">
        <f>Orçamento!C329</f>
        <v>MARQUISE</v>
      </c>
      <c r="D720" s="75"/>
      <c r="E720" s="76"/>
      <c r="F720" s="77"/>
      <c r="G720" s="77"/>
      <c r="H720" s="77"/>
      <c r="I720" s="77"/>
      <c r="J720" s="77"/>
      <c r="K720" s="77"/>
      <c r="L720" s="78"/>
    </row>
    <row r="721" spans="2:12" ht="18">
      <c r="B721" s="108" t="str">
        <f>Orçamento!B330</f>
        <v>20.1</v>
      </c>
      <c r="C721" s="109" t="str">
        <f>Orçamento!C330</f>
        <v>Forro de PVC para a marquise</v>
      </c>
      <c r="D721" s="189" t="s">
        <v>39</v>
      </c>
      <c r="E721" s="81"/>
      <c r="F721" s="81"/>
      <c r="G721" s="81"/>
      <c r="H721" s="81"/>
      <c r="I721" s="81"/>
      <c r="J721" s="81"/>
      <c r="K721" s="81"/>
      <c r="L721" s="84"/>
    </row>
    <row r="722" spans="2:12" ht="18">
      <c r="B722" s="130"/>
      <c r="C722" s="126"/>
      <c r="D722" s="153"/>
      <c r="E722" s="102"/>
      <c r="F722" s="140">
        <v>2</v>
      </c>
      <c r="G722" s="143">
        <v>3.45</v>
      </c>
      <c r="H722" s="102"/>
      <c r="I722" s="140">
        <f>F722*G722</f>
        <v>6.9</v>
      </c>
      <c r="J722" s="102"/>
      <c r="K722" s="102"/>
      <c r="L722" s="89">
        <f>I722</f>
        <v>6.9</v>
      </c>
    </row>
    <row r="723" spans="2:12" ht="18">
      <c r="B723" s="130"/>
      <c r="C723" s="126"/>
      <c r="D723" s="153"/>
      <c r="E723" s="102"/>
      <c r="F723" s="60"/>
      <c r="G723" s="60"/>
      <c r="H723" s="60"/>
      <c r="I723" s="60"/>
      <c r="J723" s="102"/>
      <c r="K723" s="102"/>
      <c r="L723" s="99">
        <f>SUM(L722)</f>
        <v>6.9</v>
      </c>
    </row>
    <row r="724" spans="2:12" ht="72">
      <c r="B724" s="108" t="str">
        <f>Orçamento!B331</f>
        <v>20.2</v>
      </c>
      <c r="C724" s="109" t="str">
        <f>Orçamento!C331</f>
        <v>Telhamento com telha de alumínio dupla, trapezoidal, tipo sanduíche 0,6mm pré pintada em duas faces, com isolamento de espuma rígida de poliuretano 30mm pintada</v>
      </c>
      <c r="D724" s="189" t="s">
        <v>39</v>
      </c>
      <c r="E724" s="81"/>
      <c r="F724" s="81"/>
      <c r="G724" s="81"/>
      <c r="H724" s="81"/>
      <c r="I724" s="81"/>
      <c r="J724" s="81"/>
      <c r="K724" s="81"/>
      <c r="L724" s="84"/>
    </row>
    <row r="725" spans="2:12" ht="18">
      <c r="B725" s="130"/>
      <c r="C725" s="126"/>
      <c r="D725" s="153"/>
      <c r="E725" s="102"/>
      <c r="F725" s="140">
        <v>2</v>
      </c>
      <c r="G725" s="143">
        <v>3.45</v>
      </c>
      <c r="H725" s="102"/>
      <c r="I725" s="140">
        <f>F725*G725</f>
        <v>6.9</v>
      </c>
      <c r="J725" s="102"/>
      <c r="K725" s="102"/>
      <c r="L725" s="89">
        <f>I725</f>
        <v>6.9</v>
      </c>
    </row>
    <row r="726" spans="2:12" ht="18">
      <c r="B726" s="115"/>
      <c r="C726" s="113"/>
      <c r="D726" s="152"/>
      <c r="E726" s="94"/>
      <c r="F726" s="290"/>
      <c r="G726" s="290"/>
      <c r="H726" s="290"/>
      <c r="I726" s="290"/>
      <c r="J726" s="94"/>
      <c r="K726" s="94"/>
      <c r="L726" s="97">
        <f>SUM(L725)</f>
        <v>6.9</v>
      </c>
    </row>
    <row r="727" spans="2:12" ht="18">
      <c r="B727" s="130" t="str">
        <f>Orçamento!B332</f>
        <v>20.3</v>
      </c>
      <c r="C727" s="126" t="str">
        <f>Orçamento!C332</f>
        <v>Estrutura metálica</v>
      </c>
      <c r="D727" s="153" t="s">
        <v>39</v>
      </c>
      <c r="E727" s="102"/>
      <c r="F727" s="102"/>
      <c r="G727" s="102"/>
      <c r="H727" s="102"/>
      <c r="I727" s="102"/>
      <c r="J727" s="102"/>
      <c r="K727" s="102"/>
      <c r="L727" s="99"/>
    </row>
    <row r="728" spans="2:12" ht="18">
      <c r="B728" s="130"/>
      <c r="C728" s="126"/>
      <c r="D728" s="153"/>
      <c r="E728" s="102"/>
      <c r="F728" s="140">
        <v>2</v>
      </c>
      <c r="G728" s="143">
        <v>3.45</v>
      </c>
      <c r="H728" s="102"/>
      <c r="I728" s="140">
        <f>F728*G728</f>
        <v>6.9</v>
      </c>
      <c r="J728" s="102"/>
      <c r="K728" s="102"/>
      <c r="L728" s="89">
        <f>I728</f>
        <v>6.9</v>
      </c>
    </row>
    <row r="729" spans="2:12" ht="18">
      <c r="B729" s="115"/>
      <c r="C729" s="113"/>
      <c r="D729" s="152"/>
      <c r="E729" s="94"/>
      <c r="F729" s="290"/>
      <c r="G729" s="290"/>
      <c r="H729" s="290"/>
      <c r="I729" s="290"/>
      <c r="J729" s="94"/>
      <c r="K729" s="94"/>
      <c r="L729" s="97">
        <f>SUM(L728)</f>
        <v>6.9</v>
      </c>
    </row>
    <row r="730" spans="2:12" ht="36">
      <c r="B730" s="108" t="str">
        <f>Orçamento!B333</f>
        <v>20.4</v>
      </c>
      <c r="C730" s="109" t="str">
        <f>Orçamento!C333</f>
        <v>Revestimento metálico, tipo "reynobond" duas chapas</v>
      </c>
      <c r="D730" s="189" t="s">
        <v>39</v>
      </c>
      <c r="E730" s="81"/>
      <c r="F730" s="81"/>
      <c r="G730" s="81"/>
      <c r="H730" s="81"/>
      <c r="I730" s="81"/>
      <c r="J730" s="81"/>
      <c r="K730" s="81"/>
      <c r="L730" s="84"/>
    </row>
    <row r="731" spans="2:12" ht="18">
      <c r="B731" s="130"/>
      <c r="C731" s="126"/>
      <c r="D731" s="153"/>
      <c r="E731" s="102"/>
      <c r="F731" s="143">
        <v>5.45</v>
      </c>
      <c r="G731" s="102"/>
      <c r="H731" s="140">
        <v>0.5</v>
      </c>
      <c r="I731" s="140">
        <f>F731*H731</f>
        <v>2.725</v>
      </c>
      <c r="J731" s="102"/>
      <c r="K731" s="102"/>
      <c r="L731" s="89">
        <f>I731</f>
        <v>2.725</v>
      </c>
    </row>
    <row r="732" spans="2:12" ht="18">
      <c r="B732" s="115"/>
      <c r="C732" s="113"/>
      <c r="D732" s="152"/>
      <c r="E732" s="94"/>
      <c r="F732" s="147"/>
      <c r="G732" s="94"/>
      <c r="H732" s="148"/>
      <c r="I732" s="95"/>
      <c r="J732" s="94"/>
      <c r="K732" s="94"/>
      <c r="L732" s="97">
        <f>SUM(L731)</f>
        <v>2.725</v>
      </c>
    </row>
    <row r="733" spans="2:12" ht="36">
      <c r="B733" s="108" t="str">
        <f>Orçamento!B334</f>
        <v>20.5</v>
      </c>
      <c r="C733" s="109" t="str">
        <f>Orçamento!C334</f>
        <v>Calha em chapa de aço galvanizado numero 24, desenvolvimento de 33cm</v>
      </c>
      <c r="D733" s="189" t="s">
        <v>34</v>
      </c>
      <c r="E733" s="81"/>
      <c r="F733" s="81"/>
      <c r="G733" s="81"/>
      <c r="H733" s="81"/>
      <c r="I733" s="81"/>
      <c r="J733" s="81"/>
      <c r="K733" s="81"/>
      <c r="L733" s="84"/>
    </row>
    <row r="734" spans="2:12" ht="18">
      <c r="B734" s="130"/>
      <c r="C734" s="126"/>
      <c r="D734" s="153"/>
      <c r="E734" s="102"/>
      <c r="F734" s="143">
        <v>3.45</v>
      </c>
      <c r="G734" s="102"/>
      <c r="H734" s="102"/>
      <c r="I734" s="102"/>
      <c r="J734" s="102"/>
      <c r="K734" s="102"/>
      <c r="L734" s="89">
        <f>F734</f>
        <v>3.45</v>
      </c>
    </row>
    <row r="735" spans="2:12" ht="18">
      <c r="B735" s="130"/>
      <c r="C735" s="126"/>
      <c r="D735" s="153"/>
      <c r="E735" s="102"/>
      <c r="F735" s="143"/>
      <c r="G735" s="102"/>
      <c r="H735" s="102"/>
      <c r="I735" s="102"/>
      <c r="J735" s="102"/>
      <c r="K735" s="102"/>
      <c r="L735" s="99">
        <f>L734</f>
        <v>3.45</v>
      </c>
    </row>
    <row r="736" spans="2:12" ht="36.75" customHeight="1">
      <c r="B736" s="108" t="str">
        <f>Orçamento!B335</f>
        <v>20.6</v>
      </c>
      <c r="C736" s="109" t="str">
        <f>Orçamento!C335</f>
        <v>Tubo de pvc "r" 75mm incl conexoes</v>
      </c>
      <c r="D736" s="189" t="s">
        <v>34</v>
      </c>
      <c r="E736" s="81"/>
      <c r="F736" s="81"/>
      <c r="G736" s="81"/>
      <c r="H736" s="81"/>
      <c r="I736" s="81"/>
      <c r="J736" s="81"/>
      <c r="K736" s="81"/>
      <c r="L736" s="84"/>
    </row>
    <row r="737" spans="2:12" ht="18">
      <c r="B737" s="130"/>
      <c r="C737" s="126"/>
      <c r="D737" s="153"/>
      <c r="E737" s="102"/>
      <c r="F737" s="140">
        <v>5.15</v>
      </c>
      <c r="G737" s="102"/>
      <c r="H737" s="102"/>
      <c r="I737" s="102"/>
      <c r="J737" s="102"/>
      <c r="K737" s="102"/>
      <c r="L737" s="89">
        <f>F737</f>
        <v>5.15</v>
      </c>
    </row>
    <row r="738" spans="2:12" ht="18">
      <c r="B738" s="115"/>
      <c r="C738" s="113"/>
      <c r="D738" s="152"/>
      <c r="E738" s="94"/>
      <c r="F738" s="147"/>
      <c r="G738" s="94"/>
      <c r="H738" s="94"/>
      <c r="I738" s="94"/>
      <c r="J738" s="94"/>
      <c r="K738" s="94"/>
      <c r="L738" s="97">
        <f>L737</f>
        <v>5.15</v>
      </c>
    </row>
    <row r="739" spans="2:12" ht="18" customHeight="1">
      <c r="B739" s="74" t="str">
        <f>Orçamento!B336</f>
        <v>21.00</v>
      </c>
      <c r="C739" s="75" t="str">
        <f>Orçamento!C336</f>
        <v>DIVERSOS</v>
      </c>
      <c r="D739" s="75"/>
      <c r="E739" s="76"/>
      <c r="F739" s="77"/>
      <c r="G739" s="77"/>
      <c r="H739" s="77"/>
      <c r="I739" s="77"/>
      <c r="J739" s="77"/>
      <c r="K739" s="77"/>
      <c r="L739" s="78"/>
    </row>
    <row r="740" spans="2:12" ht="18">
      <c r="B740" s="108" t="str">
        <f>Orçamento!B337</f>
        <v>21.1</v>
      </c>
      <c r="C740" s="109" t="str">
        <f>Orçamento!C337</f>
        <v>Forro de Gesso</v>
      </c>
      <c r="D740" s="189" t="s">
        <v>39</v>
      </c>
      <c r="E740" s="81"/>
      <c r="F740" s="394"/>
      <c r="G740" s="81"/>
      <c r="H740" s="81"/>
      <c r="I740" s="81"/>
      <c r="J740" s="81"/>
      <c r="K740" s="81"/>
      <c r="L740" s="84"/>
    </row>
    <row r="741" spans="2:12" ht="18">
      <c r="B741" s="130"/>
      <c r="C741" s="126"/>
      <c r="D741" s="153"/>
      <c r="E741" s="98" t="s">
        <v>556</v>
      </c>
      <c r="F741" s="88"/>
      <c r="G741" s="88"/>
      <c r="H741" s="88"/>
      <c r="I741" s="88">
        <f>11.08+31.19+29.93</f>
        <v>72.2</v>
      </c>
      <c r="J741" s="102"/>
      <c r="K741" s="102"/>
      <c r="L741" s="89">
        <f>I741</f>
        <v>72.2</v>
      </c>
    </row>
    <row r="742" spans="2:12" ht="18">
      <c r="B742" s="130"/>
      <c r="C742" s="126"/>
      <c r="D742" s="153"/>
      <c r="E742" s="98" t="s">
        <v>544</v>
      </c>
      <c r="F742" s="88"/>
      <c r="G742" s="88"/>
      <c r="H742" s="88"/>
      <c r="I742" s="88">
        <v>18.73</v>
      </c>
      <c r="J742" s="102"/>
      <c r="K742" s="102"/>
      <c r="L742" s="89">
        <f>I742</f>
        <v>18.73</v>
      </c>
    </row>
    <row r="743" spans="2:12" ht="18" customHeight="1">
      <c r="B743" s="294"/>
      <c r="C743" s="184"/>
      <c r="D743" s="184"/>
      <c r="E743" s="98" t="s">
        <v>566</v>
      </c>
      <c r="F743" s="88"/>
      <c r="G743" s="88"/>
      <c r="H743" s="88"/>
      <c r="I743" s="140">
        <f>5.95+2.75</f>
        <v>8.7</v>
      </c>
      <c r="J743" s="184"/>
      <c r="K743" s="184"/>
      <c r="L743" s="89">
        <f>I743</f>
        <v>8.7</v>
      </c>
    </row>
    <row r="744" spans="2:12" ht="18" customHeight="1">
      <c r="B744" s="395"/>
      <c r="C744" s="396"/>
      <c r="D744" s="396"/>
      <c r="E744" s="101"/>
      <c r="F744" s="95"/>
      <c r="G744" s="95"/>
      <c r="H744" s="95"/>
      <c r="I744" s="147"/>
      <c r="J744" s="396"/>
      <c r="K744" s="396"/>
      <c r="L744" s="97">
        <f>SUM(L741:L743)</f>
        <v>99.63000000000001</v>
      </c>
    </row>
    <row r="745" spans="2:12" ht="18" customHeight="1">
      <c r="B745" s="108" t="str">
        <f>Orçamento!B338</f>
        <v>21.2</v>
      </c>
      <c r="C745" s="109" t="str">
        <f>Orçamento!C338</f>
        <v>Bate maca</v>
      </c>
      <c r="D745" s="189" t="s">
        <v>34</v>
      </c>
      <c r="E745" s="100"/>
      <c r="F745" s="83"/>
      <c r="G745" s="83"/>
      <c r="H745" s="83"/>
      <c r="I745" s="394"/>
      <c r="J745" s="639"/>
      <c r="K745" s="639"/>
      <c r="L745" s="84"/>
    </row>
    <row r="746" spans="2:12" ht="18" customHeight="1">
      <c r="B746" s="294"/>
      <c r="C746" s="184"/>
      <c r="D746" s="184"/>
      <c r="E746" s="98" t="s">
        <v>1126</v>
      </c>
      <c r="F746" s="88">
        <v>82</v>
      </c>
      <c r="G746" s="88"/>
      <c r="H746" s="88"/>
      <c r="I746" s="143"/>
      <c r="J746" s="184"/>
      <c r="K746" s="184"/>
      <c r="L746" s="89">
        <f>F746</f>
        <v>82</v>
      </c>
    </row>
    <row r="747" spans="2:12" ht="18" customHeight="1">
      <c r="B747" s="294"/>
      <c r="C747" s="184"/>
      <c r="D747" s="184"/>
      <c r="E747" s="98" t="s">
        <v>1127</v>
      </c>
      <c r="F747" s="88">
        <v>34.55</v>
      </c>
      <c r="G747" s="88"/>
      <c r="H747" s="88"/>
      <c r="I747" s="143"/>
      <c r="J747" s="184"/>
      <c r="K747" s="184"/>
      <c r="L747" s="89">
        <f>F747</f>
        <v>34.55</v>
      </c>
    </row>
    <row r="748" spans="2:12" ht="18" customHeight="1">
      <c r="B748" s="395"/>
      <c r="C748" s="396"/>
      <c r="D748" s="396"/>
      <c r="E748" s="101"/>
      <c r="F748" s="95"/>
      <c r="G748" s="95"/>
      <c r="H748" s="95"/>
      <c r="I748" s="147"/>
      <c r="J748" s="396"/>
      <c r="K748" s="396"/>
      <c r="L748" s="97">
        <f>SUM(L746:L747)</f>
        <v>116.55</v>
      </c>
    </row>
    <row r="749" spans="2:12" ht="18" customHeight="1">
      <c r="B749" s="768"/>
      <c r="C749" s="184"/>
      <c r="D749" s="184"/>
      <c r="E749" s="98"/>
      <c r="F749" s="88"/>
      <c r="G749" s="88"/>
      <c r="H749" s="88"/>
      <c r="I749" s="143"/>
      <c r="J749" s="184"/>
      <c r="K749" s="184"/>
      <c r="L749" s="761"/>
    </row>
    <row r="750" spans="2:12" ht="18" customHeight="1">
      <c r="B750" s="768"/>
      <c r="C750" s="184"/>
      <c r="D750" s="184"/>
      <c r="E750" s="98"/>
      <c r="F750" s="88"/>
      <c r="G750" s="88"/>
      <c r="H750" s="88"/>
      <c r="I750" s="143"/>
      <c r="J750" s="184"/>
      <c r="K750" s="184"/>
      <c r="L750" s="761"/>
    </row>
    <row r="751" spans="2:12" ht="18" customHeight="1">
      <c r="B751" s="768"/>
      <c r="C751" s="184"/>
      <c r="D751" s="184"/>
      <c r="E751" s="98"/>
      <c r="F751" s="88"/>
      <c r="G751" s="88"/>
      <c r="H751" s="88"/>
      <c r="I751" s="143"/>
      <c r="J751" s="184"/>
      <c r="K751" s="184"/>
      <c r="L751" s="761"/>
    </row>
    <row r="752" spans="2:12" ht="18" customHeight="1">
      <c r="B752" s="768"/>
      <c r="C752" s="834" t="str">
        <f>Orçamento!B348</f>
        <v>Teresina (PI), 23 de Abril de 2015</v>
      </c>
      <c r="D752" s="834"/>
      <c r="E752" s="184"/>
      <c r="F752" s="184"/>
      <c r="G752" s="184"/>
      <c r="H752" s="184"/>
      <c r="I752" s="184"/>
      <c r="J752" s="184"/>
      <c r="K752" s="184"/>
      <c r="L752" s="184"/>
    </row>
    <row r="753" spans="2:12" ht="18" customHeight="1">
      <c r="B753" s="768"/>
      <c r="C753" s="640"/>
      <c r="D753" s="640"/>
      <c r="E753" s="184"/>
      <c r="F753" s="184"/>
      <c r="G753" s="184"/>
      <c r="H753" s="184"/>
      <c r="I753" s="184"/>
      <c r="J753" s="184"/>
      <c r="K753" s="184"/>
      <c r="L753" s="184"/>
    </row>
    <row r="754" spans="2:12" ht="18" customHeight="1">
      <c r="B754" s="768"/>
      <c r="C754" s="640"/>
      <c r="D754" s="640"/>
      <c r="E754" s="184"/>
      <c r="F754" s="184"/>
      <c r="G754" s="184"/>
      <c r="H754" s="184"/>
      <c r="I754" s="184"/>
      <c r="J754" s="184"/>
      <c r="K754" s="184"/>
      <c r="L754" s="184"/>
    </row>
    <row r="755" spans="2:12" ht="18" customHeight="1">
      <c r="B755" s="768"/>
      <c r="C755" s="640"/>
      <c r="D755" s="640"/>
      <c r="E755" s="184"/>
      <c r="F755" s="184"/>
      <c r="G755" s="184"/>
      <c r="H755" s="184"/>
      <c r="I755" s="184"/>
      <c r="J755" s="184"/>
      <c r="K755" s="184"/>
      <c r="L755" s="184"/>
    </row>
    <row r="756" spans="2:12" ht="18" customHeight="1">
      <c r="B756" s="768"/>
      <c r="C756" s="640"/>
      <c r="D756" s="640"/>
      <c r="E756" s="184"/>
      <c r="F756" s="184"/>
      <c r="G756" s="184"/>
      <c r="H756" s="184"/>
      <c r="I756" s="184"/>
      <c r="J756" s="184"/>
      <c r="K756" s="184"/>
      <c r="L756" s="184"/>
    </row>
    <row r="757" spans="2:12" ht="18" customHeight="1"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</row>
    <row r="758" ht="18" customHeight="1"/>
    <row r="759" ht="18" customHeight="1"/>
    <row r="760" ht="18" customHeight="1"/>
    <row r="761" ht="18" customHeight="1"/>
    <row r="762" ht="18" customHeight="1"/>
  </sheetData>
  <sheetProtection/>
  <mergeCells count="12">
    <mergeCell ref="B12:L12"/>
    <mergeCell ref="B2:C7"/>
    <mergeCell ref="D2:E7"/>
    <mergeCell ref="F2:L3"/>
    <mergeCell ref="C752:D752"/>
    <mergeCell ref="F4:L5"/>
    <mergeCell ref="F6:L7"/>
    <mergeCell ref="Q7:T15"/>
    <mergeCell ref="B9:E9"/>
    <mergeCell ref="F9:L9"/>
    <mergeCell ref="B10:E10"/>
    <mergeCell ref="F10:L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33"/>
  <sheetViews>
    <sheetView view="pageBreakPreview" zoomScale="82" zoomScaleSheetLayoutView="82" zoomScalePageLayoutView="0" workbookViewId="0" topLeftCell="A1">
      <selection activeCell="C315" sqref="C315"/>
    </sheetView>
  </sheetViews>
  <sheetFormatPr defaultColWidth="9.140625" defaultRowHeight="18" customHeight="1"/>
  <cols>
    <col min="1" max="1" width="4.7109375" style="295" customWidth="1"/>
    <col min="2" max="2" width="18.7109375" style="321" customWidth="1"/>
    <col min="3" max="3" width="54.00390625" style="295" customWidth="1"/>
    <col min="4" max="4" width="9.57421875" style="318" customWidth="1"/>
    <col min="5" max="5" width="9.7109375" style="322" customWidth="1"/>
    <col min="6" max="6" width="17.00390625" style="320" customWidth="1"/>
    <col min="7" max="7" width="19.140625" style="320" customWidth="1"/>
    <col min="8" max="8" width="15.00390625" style="295" customWidth="1"/>
    <col min="9" max="9" width="14.7109375" style="295" customWidth="1"/>
    <col min="10" max="10" width="0.13671875" style="295" customWidth="1"/>
    <col min="11" max="11" width="11.57421875" style="295" customWidth="1"/>
    <col min="12" max="12" width="17.7109375" style="295" customWidth="1"/>
    <col min="13" max="16384" width="9.140625" style="295" customWidth="1"/>
  </cols>
  <sheetData>
    <row r="1" spans="2:10" ht="18" customHeight="1">
      <c r="B1" s="26"/>
      <c r="C1" s="20"/>
      <c r="D1" s="27"/>
      <c r="E1" s="28"/>
      <c r="F1" s="29"/>
      <c r="G1" s="29"/>
      <c r="H1" s="20"/>
      <c r="I1" s="20"/>
      <c r="J1" s="20"/>
    </row>
    <row r="2" spans="2:10" ht="18" customHeight="1">
      <c r="B2" s="897"/>
      <c r="C2" s="897"/>
      <c r="D2" s="784" t="s">
        <v>47</v>
      </c>
      <c r="E2" s="784"/>
      <c r="F2" s="784"/>
      <c r="G2" s="784"/>
      <c r="H2" s="784"/>
      <c r="I2" s="784"/>
      <c r="J2" s="784"/>
    </row>
    <row r="3" spans="2:10" ht="18" customHeight="1">
      <c r="B3" s="897"/>
      <c r="C3" s="897"/>
      <c r="D3" s="784"/>
      <c r="E3" s="784"/>
      <c r="F3" s="784"/>
      <c r="G3" s="784"/>
      <c r="H3" s="784"/>
      <c r="I3" s="784"/>
      <c r="J3" s="784"/>
    </row>
    <row r="4" spans="2:10" ht="18" customHeight="1">
      <c r="B4" s="897"/>
      <c r="C4" s="897"/>
      <c r="D4" s="898" t="s">
        <v>48</v>
      </c>
      <c r="E4" s="899"/>
      <c r="F4" s="899"/>
      <c r="G4" s="899"/>
      <c r="H4" s="899"/>
      <c r="I4" s="899"/>
      <c r="J4" s="900"/>
    </row>
    <row r="5" spans="2:10" ht="18" customHeight="1">
      <c r="B5" s="897"/>
      <c r="C5" s="897"/>
      <c r="D5" s="901"/>
      <c r="E5" s="902"/>
      <c r="F5" s="902"/>
      <c r="G5" s="902"/>
      <c r="H5" s="902"/>
      <c r="I5" s="902"/>
      <c r="J5" s="903"/>
    </row>
    <row r="6" spans="2:10" ht="18" customHeight="1">
      <c r="B6" s="897"/>
      <c r="C6" s="897"/>
      <c r="D6" s="802" t="s">
        <v>35</v>
      </c>
      <c r="E6" s="802"/>
      <c r="F6" s="802"/>
      <c r="G6" s="802"/>
      <c r="H6" s="802"/>
      <c r="I6" s="802"/>
      <c r="J6" s="802"/>
    </row>
    <row r="7" spans="2:10" ht="18" customHeight="1">
      <c r="B7" s="897"/>
      <c r="C7" s="897"/>
      <c r="D7" s="802"/>
      <c r="E7" s="802"/>
      <c r="F7" s="802"/>
      <c r="G7" s="802"/>
      <c r="H7" s="802"/>
      <c r="I7" s="802"/>
      <c r="J7" s="802"/>
    </row>
    <row r="8" spans="2:10" s="297" customFormat="1" ht="4.5" customHeight="1">
      <c r="B8" s="36"/>
      <c r="C8" s="36"/>
      <c r="D8" s="296"/>
      <c r="E8" s="296"/>
      <c r="F8" s="296"/>
      <c r="G8" s="296"/>
      <c r="H8" s="296"/>
      <c r="I8" s="296"/>
      <c r="J8" s="296"/>
    </row>
    <row r="9" spans="2:10" ht="18" customHeight="1">
      <c r="B9" s="886" t="s">
        <v>131</v>
      </c>
      <c r="C9" s="887"/>
      <c r="D9" s="887"/>
      <c r="E9" s="888"/>
      <c r="F9" s="904" t="s">
        <v>1136</v>
      </c>
      <c r="G9" s="905"/>
      <c r="H9" s="905"/>
      <c r="I9" s="905"/>
      <c r="J9" s="906"/>
    </row>
    <row r="10" spans="2:10" ht="18" customHeight="1">
      <c r="B10" s="886" t="s">
        <v>106</v>
      </c>
      <c r="C10" s="887"/>
      <c r="D10" s="887"/>
      <c r="E10" s="888"/>
      <c r="F10" s="889" t="s">
        <v>595</v>
      </c>
      <c r="G10" s="890"/>
      <c r="H10" s="890"/>
      <c r="I10" s="891"/>
      <c r="J10" s="298"/>
    </row>
    <row r="11" spans="2:10" ht="4.5" customHeight="1" thickBot="1">
      <c r="B11" s="299"/>
      <c r="C11" s="299"/>
      <c r="D11" s="299"/>
      <c r="E11" s="299"/>
      <c r="F11" s="300"/>
      <c r="G11" s="300"/>
      <c r="H11" s="300"/>
      <c r="I11" s="300"/>
      <c r="J11" s="301"/>
    </row>
    <row r="12" spans="2:10" ht="18" customHeight="1" thickBot="1">
      <c r="B12" s="892" t="s">
        <v>111</v>
      </c>
      <c r="C12" s="893"/>
      <c r="D12" s="893"/>
      <c r="E12" s="893"/>
      <c r="F12" s="893"/>
      <c r="G12" s="893"/>
      <c r="H12" s="893"/>
      <c r="I12" s="894"/>
      <c r="J12" s="301"/>
    </row>
    <row r="13" spans="2:10" s="303" customFormat="1" ht="4.5" customHeight="1">
      <c r="B13" s="299"/>
      <c r="C13" s="299"/>
      <c r="D13" s="299"/>
      <c r="E13" s="299"/>
      <c r="F13" s="299"/>
      <c r="G13" s="299"/>
      <c r="H13" s="299"/>
      <c r="I13" s="299"/>
      <c r="J13" s="302"/>
    </row>
    <row r="14" spans="2:10" ht="18.75" customHeight="1">
      <c r="B14" s="907" t="s">
        <v>112</v>
      </c>
      <c r="C14" s="908"/>
      <c r="D14" s="909">
        <v>0.8946</v>
      </c>
      <c r="E14" s="909"/>
      <c r="F14" s="910"/>
      <c r="G14" s="910"/>
      <c r="H14" s="910"/>
      <c r="I14" s="911"/>
      <c r="J14" s="304"/>
    </row>
    <row r="15" spans="2:10" ht="18.75" customHeight="1">
      <c r="B15" s="864" t="s">
        <v>720</v>
      </c>
      <c r="C15" s="865"/>
      <c r="D15" s="865"/>
      <c r="E15" s="865"/>
      <c r="F15" s="865"/>
      <c r="G15" s="865"/>
      <c r="H15" s="865"/>
      <c r="I15" s="866"/>
      <c r="J15" s="409"/>
    </row>
    <row r="16" spans="2:10" ht="18.75" customHeight="1">
      <c r="B16" s="644" t="s">
        <v>113</v>
      </c>
      <c r="C16" s="645"/>
      <c r="D16" s="305">
        <f>I30</f>
        <v>38.21</v>
      </c>
      <c r="E16" s="306"/>
      <c r="F16" s="306"/>
      <c r="G16" s="307"/>
      <c r="H16" s="307"/>
      <c r="I16" s="308" t="s">
        <v>1090</v>
      </c>
      <c r="J16" s="409"/>
    </row>
    <row r="17" spans="2:10" ht="18.75" customHeight="1">
      <c r="B17" s="867"/>
      <c r="C17" s="868"/>
      <c r="D17" s="868"/>
      <c r="E17" s="868"/>
      <c r="F17" s="868"/>
      <c r="G17" s="868"/>
      <c r="H17" s="868"/>
      <c r="I17" s="869"/>
      <c r="J17" s="409"/>
    </row>
    <row r="18" spans="2:10" ht="18.75" customHeight="1">
      <c r="B18" s="309" t="s">
        <v>41</v>
      </c>
      <c r="C18" s="310" t="s">
        <v>114</v>
      </c>
      <c r="D18" s="310"/>
      <c r="E18" s="310"/>
      <c r="F18" s="310" t="s">
        <v>4</v>
      </c>
      <c r="G18" s="310" t="s">
        <v>115</v>
      </c>
      <c r="H18" s="310" t="s">
        <v>116</v>
      </c>
      <c r="I18" s="311" t="s">
        <v>117</v>
      </c>
      <c r="J18" s="409"/>
    </row>
    <row r="19" spans="2:10" ht="18.75" customHeight="1">
      <c r="B19" s="855" t="s">
        <v>118</v>
      </c>
      <c r="C19" s="856"/>
      <c r="D19" s="856"/>
      <c r="E19" s="856"/>
      <c r="F19" s="856"/>
      <c r="G19" s="856"/>
      <c r="H19" s="856"/>
      <c r="I19" s="857"/>
      <c r="J19" s="409"/>
    </row>
    <row r="20" spans="2:10" ht="18.75" customHeight="1">
      <c r="B20" s="642" t="s">
        <v>640</v>
      </c>
      <c r="C20" s="858" t="s">
        <v>637</v>
      </c>
      <c r="D20" s="858"/>
      <c r="E20" s="858"/>
      <c r="F20" s="643" t="s">
        <v>126</v>
      </c>
      <c r="G20" s="312">
        <v>1</v>
      </c>
      <c r="H20" s="312">
        <f>12.91/1.8946</f>
        <v>6.8141032407896125</v>
      </c>
      <c r="I20" s="313">
        <f>ROUND(G20*H20,2)</f>
        <v>6.81</v>
      </c>
      <c r="J20" s="409"/>
    </row>
    <row r="21" spans="2:10" ht="18.75" customHeight="1">
      <c r="B21" s="662" t="s">
        <v>128</v>
      </c>
      <c r="C21" s="663" t="s">
        <v>129</v>
      </c>
      <c r="D21" s="663"/>
      <c r="E21" s="663"/>
      <c r="F21" s="664" t="s">
        <v>1010</v>
      </c>
      <c r="G21" s="665">
        <v>2</v>
      </c>
      <c r="H21" s="312">
        <f>10.05/1.8946</f>
        <v>5.304549773039164</v>
      </c>
      <c r="I21" s="313">
        <f>ROUND(G21*H21,2)</f>
        <v>10.61</v>
      </c>
      <c r="J21" s="409"/>
    </row>
    <row r="22" spans="2:10" ht="18.75" customHeight="1">
      <c r="B22" s="859" t="s">
        <v>119</v>
      </c>
      <c r="C22" s="860"/>
      <c r="D22" s="860"/>
      <c r="E22" s="860"/>
      <c r="F22" s="860"/>
      <c r="G22" s="860"/>
      <c r="H22" s="860"/>
      <c r="I22" s="314">
        <f>SUM(I20:I21)</f>
        <v>17.419999999999998</v>
      </c>
      <c r="J22" s="409"/>
    </row>
    <row r="23" spans="2:10" ht="18.75" customHeight="1">
      <c r="B23" s="876" t="s">
        <v>1029</v>
      </c>
      <c r="C23" s="877"/>
      <c r="D23" s="877"/>
      <c r="E23" s="877"/>
      <c r="F23" s="877"/>
      <c r="G23" s="877"/>
      <c r="H23" s="877"/>
      <c r="I23" s="878"/>
      <c r="J23" s="409"/>
    </row>
    <row r="24" spans="2:10" ht="26.25" customHeight="1">
      <c r="B24" s="662" t="s">
        <v>1086</v>
      </c>
      <c r="C24" s="872" t="s">
        <v>1085</v>
      </c>
      <c r="D24" s="872"/>
      <c r="E24" s="872"/>
      <c r="F24" s="695" t="s">
        <v>734</v>
      </c>
      <c r="G24" s="673">
        <v>0.1</v>
      </c>
      <c r="H24" s="312">
        <v>18.97</v>
      </c>
      <c r="I24" s="313">
        <f>ROUND(G24*H24,2)</f>
        <v>1.9</v>
      </c>
      <c r="J24" s="409"/>
    </row>
    <row r="25" spans="2:10" ht="18.75" customHeight="1">
      <c r="B25" s="662" t="s">
        <v>1088</v>
      </c>
      <c r="C25" s="872" t="s">
        <v>1087</v>
      </c>
      <c r="D25" s="872"/>
      <c r="E25" s="872"/>
      <c r="F25" s="695" t="s">
        <v>733</v>
      </c>
      <c r="G25" s="641">
        <v>0.5</v>
      </c>
      <c r="H25" s="312">
        <v>6.61</v>
      </c>
      <c r="I25" s="313">
        <f>ROUND(G25*H25,2)</f>
        <v>3.31</v>
      </c>
      <c r="J25" s="409"/>
    </row>
    <row r="26" spans="2:10" ht="18.75" customHeight="1">
      <c r="B26" s="874" t="s">
        <v>1048</v>
      </c>
      <c r="C26" s="875"/>
      <c r="D26" s="875"/>
      <c r="E26" s="875"/>
      <c r="F26" s="875"/>
      <c r="G26" s="875"/>
      <c r="H26" s="875"/>
      <c r="I26" s="672">
        <f>SUM(I24:I25)</f>
        <v>5.21</v>
      </c>
      <c r="J26" s="409"/>
    </row>
    <row r="27" spans="2:10" ht="18.75" customHeight="1">
      <c r="B27" s="674"/>
      <c r="C27" s="675"/>
      <c r="D27" s="675"/>
      <c r="E27" s="675"/>
      <c r="F27" s="675"/>
      <c r="G27" s="675"/>
      <c r="H27" s="675"/>
      <c r="I27" s="676"/>
      <c r="J27" s="409"/>
    </row>
    <row r="28" spans="2:10" ht="18.75" customHeight="1">
      <c r="B28" s="874" t="s">
        <v>123</v>
      </c>
      <c r="C28" s="875"/>
      <c r="D28" s="875"/>
      <c r="E28" s="875"/>
      <c r="F28" s="875"/>
      <c r="G28" s="875"/>
      <c r="H28" s="875"/>
      <c r="I28" s="677">
        <f>I22+I26</f>
        <v>22.63</v>
      </c>
      <c r="J28" s="409"/>
    </row>
    <row r="29" spans="2:10" ht="18.75" customHeight="1">
      <c r="B29" s="874" t="s">
        <v>124</v>
      </c>
      <c r="C29" s="875"/>
      <c r="D29" s="875"/>
      <c r="E29" s="875"/>
      <c r="F29" s="875"/>
      <c r="G29" s="875"/>
      <c r="H29" s="875"/>
      <c r="I29" s="315">
        <f>ROUND(I22*$D$14,2)</f>
        <v>15.58</v>
      </c>
      <c r="J29" s="409"/>
    </row>
    <row r="30" spans="2:10" ht="18.75" customHeight="1">
      <c r="B30" s="870" t="s">
        <v>125</v>
      </c>
      <c r="C30" s="871"/>
      <c r="D30" s="871"/>
      <c r="E30" s="871"/>
      <c r="F30" s="871"/>
      <c r="G30" s="871"/>
      <c r="H30" s="871"/>
      <c r="I30" s="678">
        <f>I28+I29</f>
        <v>38.21</v>
      </c>
      <c r="J30" s="409"/>
    </row>
    <row r="31" spans="2:10" ht="18.75" customHeight="1">
      <c r="B31" s="693"/>
      <c r="C31" s="694"/>
      <c r="D31" s="694"/>
      <c r="E31" s="694"/>
      <c r="F31" s="694"/>
      <c r="G31" s="694"/>
      <c r="H31" s="694"/>
      <c r="I31" s="681"/>
      <c r="J31" s="409"/>
    </row>
    <row r="32" spans="2:10" ht="34.5" customHeight="1">
      <c r="B32" s="879" t="s">
        <v>1007</v>
      </c>
      <c r="C32" s="880"/>
      <c r="D32" s="880"/>
      <c r="E32" s="880"/>
      <c r="F32" s="880"/>
      <c r="G32" s="880"/>
      <c r="H32" s="880"/>
      <c r="I32" s="881"/>
      <c r="J32" s="409"/>
    </row>
    <row r="33" spans="2:10" ht="18.75" customHeight="1">
      <c r="B33" s="652" t="s">
        <v>113</v>
      </c>
      <c r="C33" s="653"/>
      <c r="D33" s="654">
        <v>1610.65</v>
      </c>
      <c r="E33" s="655"/>
      <c r="F33" s="655"/>
      <c r="G33" s="656"/>
      <c r="H33" s="656"/>
      <c r="I33" s="657" t="s">
        <v>1008</v>
      </c>
      <c r="J33" s="409"/>
    </row>
    <row r="34" spans="2:10" ht="18.75" customHeight="1">
      <c r="B34" s="882"/>
      <c r="C34" s="883"/>
      <c r="D34" s="883"/>
      <c r="E34" s="883"/>
      <c r="F34" s="883"/>
      <c r="G34" s="883"/>
      <c r="H34" s="883"/>
      <c r="I34" s="884"/>
      <c r="J34" s="409"/>
    </row>
    <row r="35" spans="2:10" ht="18.75" customHeight="1">
      <c r="B35" s="659" t="s">
        <v>41</v>
      </c>
      <c r="C35" s="660" t="s">
        <v>114</v>
      </c>
      <c r="D35" s="660"/>
      <c r="E35" s="660"/>
      <c r="F35" s="660" t="s">
        <v>4</v>
      </c>
      <c r="G35" s="660" t="s">
        <v>115</v>
      </c>
      <c r="H35" s="660" t="s">
        <v>116</v>
      </c>
      <c r="I35" s="661" t="s">
        <v>117</v>
      </c>
      <c r="J35" s="409"/>
    </row>
    <row r="36" spans="2:10" ht="18.75" customHeight="1">
      <c r="B36" s="876" t="s">
        <v>118</v>
      </c>
      <c r="C36" s="877"/>
      <c r="D36" s="877"/>
      <c r="E36" s="877"/>
      <c r="F36" s="877"/>
      <c r="G36" s="877"/>
      <c r="H36" s="877"/>
      <c r="I36" s="878"/>
      <c r="J36" s="409"/>
    </row>
    <row r="37" spans="2:10" ht="18.75" customHeight="1">
      <c r="B37" s="662" t="s">
        <v>735</v>
      </c>
      <c r="C37" s="872" t="s">
        <v>1009</v>
      </c>
      <c r="D37" s="872"/>
      <c r="E37" s="872"/>
      <c r="F37" s="664" t="s">
        <v>1010</v>
      </c>
      <c r="G37" s="665">
        <v>0.5</v>
      </c>
      <c r="H37" s="312">
        <f>12.91/1.8946</f>
        <v>6.8141032407896125</v>
      </c>
      <c r="I37" s="667">
        <f>G37*H37</f>
        <v>3.4070516203948062</v>
      </c>
      <c r="J37" s="409"/>
    </row>
    <row r="38" spans="2:10" ht="18.75" customHeight="1">
      <c r="B38" s="662" t="s">
        <v>1011</v>
      </c>
      <c r="C38" s="663" t="s">
        <v>1012</v>
      </c>
      <c r="D38" s="663"/>
      <c r="E38" s="663"/>
      <c r="F38" s="664" t="s">
        <v>1010</v>
      </c>
      <c r="G38" s="665">
        <v>6.15</v>
      </c>
      <c r="H38" s="312">
        <f>12.77/1.8946</f>
        <v>6.740209015095534</v>
      </c>
      <c r="I38" s="667">
        <f>G38*H38</f>
        <v>41.452285442837535</v>
      </c>
      <c r="J38" s="409"/>
    </row>
    <row r="39" spans="2:10" ht="18.75" customHeight="1">
      <c r="B39" s="662" t="s">
        <v>128</v>
      </c>
      <c r="C39" s="663" t="s">
        <v>129</v>
      </c>
      <c r="D39" s="663"/>
      <c r="E39" s="663"/>
      <c r="F39" s="664" t="s">
        <v>1010</v>
      </c>
      <c r="G39" s="665">
        <v>6.15</v>
      </c>
      <c r="H39" s="312">
        <f>10.05/1.8946</f>
        <v>5.304549773039164</v>
      </c>
      <c r="I39" s="667">
        <f>G39*H39</f>
        <v>32.62298110419086</v>
      </c>
      <c r="J39" s="409"/>
    </row>
    <row r="40" spans="2:10" ht="18.75" customHeight="1">
      <c r="B40" s="662" t="s">
        <v>640</v>
      </c>
      <c r="C40" s="663" t="s">
        <v>637</v>
      </c>
      <c r="D40" s="663"/>
      <c r="E40" s="663"/>
      <c r="F40" s="664" t="s">
        <v>1010</v>
      </c>
      <c r="G40" s="665">
        <v>4</v>
      </c>
      <c r="H40" s="312">
        <f>12.91/1.8946</f>
        <v>6.8141032407896125</v>
      </c>
      <c r="I40" s="667">
        <f>G40*H40</f>
        <v>27.25641296315845</v>
      </c>
      <c r="J40" s="409"/>
    </row>
    <row r="41" spans="2:10" ht="28.5" customHeight="1">
      <c r="B41" s="662" t="s">
        <v>1013</v>
      </c>
      <c r="C41" s="872" t="s">
        <v>1014</v>
      </c>
      <c r="D41" s="872"/>
      <c r="E41" s="872"/>
      <c r="F41" s="664" t="s">
        <v>1010</v>
      </c>
      <c r="G41" s="668">
        <v>0.5</v>
      </c>
      <c r="H41" s="312">
        <f>20.69/1.8946</f>
        <v>10.920510925789085</v>
      </c>
      <c r="I41" s="667">
        <f>G41*H41</f>
        <v>5.460255462894542</v>
      </c>
      <c r="J41" s="409"/>
    </row>
    <row r="42" spans="2:10" ht="18.75" customHeight="1">
      <c r="B42" s="874" t="s">
        <v>119</v>
      </c>
      <c r="C42" s="875"/>
      <c r="D42" s="875"/>
      <c r="E42" s="875"/>
      <c r="F42" s="875"/>
      <c r="G42" s="875"/>
      <c r="H42" s="875"/>
      <c r="I42" s="669">
        <f>SUM(I37:I41)</f>
        <v>110.19898659347619</v>
      </c>
      <c r="J42" s="409"/>
    </row>
    <row r="43" spans="2:10" ht="18.75" customHeight="1">
      <c r="B43" s="876" t="s">
        <v>120</v>
      </c>
      <c r="C43" s="877"/>
      <c r="D43" s="877"/>
      <c r="E43" s="877"/>
      <c r="F43" s="877"/>
      <c r="G43" s="877"/>
      <c r="H43" s="877"/>
      <c r="I43" s="878"/>
      <c r="J43" s="409"/>
    </row>
    <row r="44" spans="2:10" ht="18.75" customHeight="1">
      <c r="B44" s="662" t="s">
        <v>1015</v>
      </c>
      <c r="C44" s="670" t="s">
        <v>1016</v>
      </c>
      <c r="D44" s="670"/>
      <c r="E44" s="670"/>
      <c r="F44" s="664" t="s">
        <v>121</v>
      </c>
      <c r="G44" s="665">
        <v>1.8</v>
      </c>
      <c r="H44" s="671">
        <v>8.24</v>
      </c>
      <c r="I44" s="667">
        <f aca="true" t="shared" si="0" ref="I44:I50">G44*H44</f>
        <v>14.832</v>
      </c>
      <c r="J44" s="409"/>
    </row>
    <row r="45" spans="2:10" ht="18.75" customHeight="1">
      <c r="B45" s="662" t="s">
        <v>1017</v>
      </c>
      <c r="C45" s="670" t="s">
        <v>1018</v>
      </c>
      <c r="D45" s="670"/>
      <c r="E45" s="670"/>
      <c r="F45" s="664" t="s">
        <v>121</v>
      </c>
      <c r="G45" s="671">
        <v>5</v>
      </c>
      <c r="H45" s="671">
        <v>3.14</v>
      </c>
      <c r="I45" s="667">
        <f t="shared" si="0"/>
        <v>15.700000000000001</v>
      </c>
      <c r="J45" s="409"/>
    </row>
    <row r="46" spans="2:10" ht="18.75" customHeight="1">
      <c r="B46" s="662" t="s">
        <v>1019</v>
      </c>
      <c r="C46" s="670" t="s">
        <v>1020</v>
      </c>
      <c r="D46" s="670"/>
      <c r="E46" s="670"/>
      <c r="F46" s="664" t="s">
        <v>121</v>
      </c>
      <c r="G46" s="665">
        <v>10</v>
      </c>
      <c r="H46" s="671">
        <v>2.94</v>
      </c>
      <c r="I46" s="667">
        <f t="shared" si="0"/>
        <v>29.4</v>
      </c>
      <c r="J46" s="409"/>
    </row>
    <row r="47" spans="2:10" ht="18.75" customHeight="1">
      <c r="B47" s="662" t="s">
        <v>1021</v>
      </c>
      <c r="C47" s="670" t="s">
        <v>1022</v>
      </c>
      <c r="D47" s="670"/>
      <c r="E47" s="670"/>
      <c r="F47" s="664" t="s">
        <v>121</v>
      </c>
      <c r="G47" s="665">
        <v>12</v>
      </c>
      <c r="H47" s="666">
        <v>3.14</v>
      </c>
      <c r="I47" s="667">
        <f t="shared" si="0"/>
        <v>37.68</v>
      </c>
      <c r="J47" s="409"/>
    </row>
    <row r="48" spans="2:10" ht="18.75" customHeight="1">
      <c r="B48" s="662" t="s">
        <v>1023</v>
      </c>
      <c r="C48" s="670" t="s">
        <v>1024</v>
      </c>
      <c r="D48" s="670"/>
      <c r="E48" s="670"/>
      <c r="F48" s="664" t="s">
        <v>121</v>
      </c>
      <c r="G48" s="665">
        <v>10</v>
      </c>
      <c r="H48" s="666">
        <v>3.46</v>
      </c>
      <c r="I48" s="667">
        <f t="shared" si="0"/>
        <v>34.6</v>
      </c>
      <c r="J48" s="409"/>
    </row>
    <row r="49" spans="2:10" ht="18.75" customHeight="1">
      <c r="B49" s="662" t="s">
        <v>1025</v>
      </c>
      <c r="C49" s="670" t="s">
        <v>1026</v>
      </c>
      <c r="D49" s="670"/>
      <c r="E49" s="670"/>
      <c r="F49" s="664" t="s">
        <v>121</v>
      </c>
      <c r="G49" s="665">
        <v>12</v>
      </c>
      <c r="H49" s="666">
        <v>3.88</v>
      </c>
      <c r="I49" s="667">
        <f t="shared" si="0"/>
        <v>46.56</v>
      </c>
      <c r="J49" s="409"/>
    </row>
    <row r="50" spans="2:10" ht="18.75" customHeight="1">
      <c r="B50" s="662" t="s">
        <v>1027</v>
      </c>
      <c r="C50" s="670" t="s">
        <v>1028</v>
      </c>
      <c r="D50" s="670"/>
      <c r="E50" s="670"/>
      <c r="F50" s="664" t="s">
        <v>121</v>
      </c>
      <c r="G50" s="665">
        <v>12</v>
      </c>
      <c r="H50" s="666">
        <v>3.3</v>
      </c>
      <c r="I50" s="667">
        <f t="shared" si="0"/>
        <v>39.599999999999994</v>
      </c>
      <c r="J50" s="409"/>
    </row>
    <row r="51" spans="2:10" ht="18.75" customHeight="1">
      <c r="B51" s="874" t="s">
        <v>122</v>
      </c>
      <c r="C51" s="875"/>
      <c r="D51" s="875"/>
      <c r="E51" s="875"/>
      <c r="F51" s="875"/>
      <c r="G51" s="875"/>
      <c r="H51" s="875"/>
      <c r="I51" s="672">
        <f>SUM(I44:I50)</f>
        <v>218.37199999999999</v>
      </c>
      <c r="J51" s="409"/>
    </row>
    <row r="52" spans="2:10" ht="18.75" customHeight="1">
      <c r="B52" s="876" t="s">
        <v>1029</v>
      </c>
      <c r="C52" s="877"/>
      <c r="D52" s="877"/>
      <c r="E52" s="877"/>
      <c r="F52" s="877"/>
      <c r="G52" s="877"/>
      <c r="H52" s="877"/>
      <c r="I52" s="878"/>
      <c r="J52" s="409"/>
    </row>
    <row r="53" spans="2:10" ht="33" customHeight="1">
      <c r="B53" s="662" t="s">
        <v>1030</v>
      </c>
      <c r="C53" s="873" t="s">
        <v>1031</v>
      </c>
      <c r="D53" s="873"/>
      <c r="E53" s="873"/>
      <c r="F53" s="658" t="s">
        <v>1010</v>
      </c>
      <c r="G53" s="673">
        <v>0.5</v>
      </c>
      <c r="H53" s="666">
        <v>6.86</v>
      </c>
      <c r="I53" s="667">
        <f aca="true" t="shared" si="1" ref="I53:I60">G53*H53</f>
        <v>3.43</v>
      </c>
      <c r="J53" s="409"/>
    </row>
    <row r="54" spans="2:10" ht="30.75" customHeight="1">
      <c r="B54" s="662" t="s">
        <v>1032</v>
      </c>
      <c r="C54" s="873" t="s">
        <v>1033</v>
      </c>
      <c r="D54" s="873"/>
      <c r="E54" s="873"/>
      <c r="F54" s="658" t="s">
        <v>1010</v>
      </c>
      <c r="G54" s="673">
        <v>0.28</v>
      </c>
      <c r="H54" s="666">
        <v>8.02</v>
      </c>
      <c r="I54" s="667">
        <f t="shared" si="1"/>
        <v>2.2456</v>
      </c>
      <c r="J54" s="409"/>
    </row>
    <row r="55" spans="2:10" ht="31.5" customHeight="1">
      <c r="B55" s="662" t="s">
        <v>1034</v>
      </c>
      <c r="C55" s="873" t="s">
        <v>1035</v>
      </c>
      <c r="D55" s="873"/>
      <c r="E55" s="873"/>
      <c r="F55" s="658" t="s">
        <v>1010</v>
      </c>
      <c r="G55" s="673">
        <v>0.4</v>
      </c>
      <c r="H55" s="666">
        <v>1.49</v>
      </c>
      <c r="I55" s="667">
        <f t="shared" si="1"/>
        <v>0.596</v>
      </c>
      <c r="J55" s="409"/>
    </row>
    <row r="56" spans="2:10" ht="33" customHeight="1">
      <c r="B56" s="662" t="s">
        <v>1036</v>
      </c>
      <c r="C56" s="873" t="s">
        <v>1037</v>
      </c>
      <c r="D56" s="873"/>
      <c r="E56" s="873"/>
      <c r="F56" s="658" t="s">
        <v>1010</v>
      </c>
      <c r="G56" s="673">
        <v>0.6</v>
      </c>
      <c r="H56" s="666">
        <v>1.07</v>
      </c>
      <c r="I56" s="667">
        <f t="shared" si="1"/>
        <v>0.642</v>
      </c>
      <c r="J56" s="409"/>
    </row>
    <row r="57" spans="2:10" ht="30.75" customHeight="1">
      <c r="B57" s="662" t="s">
        <v>1038</v>
      </c>
      <c r="C57" s="873" t="s">
        <v>1039</v>
      </c>
      <c r="D57" s="873"/>
      <c r="E57" s="873"/>
      <c r="F57" s="658" t="s">
        <v>1010</v>
      </c>
      <c r="G57" s="673">
        <v>0.23</v>
      </c>
      <c r="H57" s="666">
        <v>4.4</v>
      </c>
      <c r="I57" s="667">
        <f t="shared" si="1"/>
        <v>1.0120000000000002</v>
      </c>
      <c r="J57" s="409"/>
    </row>
    <row r="58" spans="2:10" ht="28.5" customHeight="1">
      <c r="B58" s="662" t="s">
        <v>1040</v>
      </c>
      <c r="C58" s="873" t="s">
        <v>1041</v>
      </c>
      <c r="D58" s="873"/>
      <c r="E58" s="873"/>
      <c r="F58" s="658" t="s">
        <v>1042</v>
      </c>
      <c r="G58" s="673">
        <v>25.2</v>
      </c>
      <c r="H58" s="666">
        <v>8.3</v>
      </c>
      <c r="I58" s="667">
        <f t="shared" si="1"/>
        <v>209.16000000000003</v>
      </c>
      <c r="J58" s="409"/>
    </row>
    <row r="59" spans="2:10" ht="28.5" customHeight="1">
      <c r="B59" s="662" t="s">
        <v>1043</v>
      </c>
      <c r="C59" s="873" t="s">
        <v>1044</v>
      </c>
      <c r="D59" s="873"/>
      <c r="E59" s="873"/>
      <c r="F59" s="658" t="s">
        <v>1042</v>
      </c>
      <c r="G59" s="673">
        <v>1</v>
      </c>
      <c r="H59" s="666">
        <v>344.88</v>
      </c>
      <c r="I59" s="667">
        <f t="shared" si="1"/>
        <v>344.88</v>
      </c>
      <c r="J59" s="409"/>
    </row>
    <row r="60" spans="2:10" ht="28.5" customHeight="1">
      <c r="B60" s="662" t="s">
        <v>1045</v>
      </c>
      <c r="C60" s="873" t="s">
        <v>1046</v>
      </c>
      <c r="D60" s="873"/>
      <c r="E60" s="873"/>
      <c r="F60" s="658" t="s">
        <v>1047</v>
      </c>
      <c r="G60" s="673">
        <v>14</v>
      </c>
      <c r="H60" s="666">
        <v>45</v>
      </c>
      <c r="I60" s="667">
        <f t="shared" si="1"/>
        <v>630</v>
      </c>
      <c r="J60" s="409"/>
    </row>
    <row r="61" spans="2:10" ht="18.75" customHeight="1">
      <c r="B61" s="874" t="s">
        <v>1048</v>
      </c>
      <c r="C61" s="875"/>
      <c r="D61" s="875"/>
      <c r="E61" s="875"/>
      <c r="F61" s="875"/>
      <c r="G61" s="875"/>
      <c r="H61" s="875"/>
      <c r="I61" s="672">
        <f>SUM(I53:I60)</f>
        <v>1191.9656</v>
      </c>
      <c r="J61" s="409"/>
    </row>
    <row r="62" spans="2:10" ht="18.75" customHeight="1">
      <c r="B62" s="674"/>
      <c r="C62" s="675"/>
      <c r="D62" s="675"/>
      <c r="E62" s="675"/>
      <c r="F62" s="675"/>
      <c r="G62" s="675"/>
      <c r="H62" s="675"/>
      <c r="I62" s="676"/>
      <c r="J62" s="409"/>
    </row>
    <row r="63" spans="2:10" ht="18.75" customHeight="1">
      <c r="B63" s="874" t="s">
        <v>123</v>
      </c>
      <c r="C63" s="875"/>
      <c r="D63" s="875"/>
      <c r="E63" s="875"/>
      <c r="F63" s="875"/>
      <c r="G63" s="875"/>
      <c r="H63" s="875"/>
      <c r="I63" s="677">
        <f>I42+I51+I61</f>
        <v>1520.5365865934762</v>
      </c>
      <c r="J63" s="409"/>
    </row>
    <row r="64" spans="2:10" ht="18.75" customHeight="1">
      <c r="B64" s="874" t="s">
        <v>124</v>
      </c>
      <c r="C64" s="875"/>
      <c r="D64" s="875"/>
      <c r="E64" s="875"/>
      <c r="F64" s="875"/>
      <c r="G64" s="875"/>
      <c r="H64" s="875"/>
      <c r="I64" s="315">
        <f>ROUND(I42*$D$14,2)</f>
        <v>98.58</v>
      </c>
      <c r="J64" s="409"/>
    </row>
    <row r="65" spans="2:10" ht="18.75" customHeight="1">
      <c r="B65" s="870" t="s">
        <v>125</v>
      </c>
      <c r="C65" s="871"/>
      <c r="D65" s="871"/>
      <c r="E65" s="871"/>
      <c r="F65" s="871"/>
      <c r="G65" s="871"/>
      <c r="H65" s="871"/>
      <c r="I65" s="678">
        <f>I63+I64</f>
        <v>1619.116586593476</v>
      </c>
      <c r="J65" s="409"/>
    </row>
    <row r="66" spans="2:10" ht="18.75" customHeight="1">
      <c r="B66" s="679"/>
      <c r="C66" s="680"/>
      <c r="D66" s="680"/>
      <c r="E66" s="680"/>
      <c r="F66" s="680"/>
      <c r="G66" s="680"/>
      <c r="H66" s="680"/>
      <c r="I66" s="681"/>
      <c r="J66" s="409"/>
    </row>
    <row r="67" spans="2:10" ht="19.5" customHeight="1">
      <c r="B67" s="864" t="s">
        <v>987</v>
      </c>
      <c r="C67" s="865"/>
      <c r="D67" s="865"/>
      <c r="E67" s="865"/>
      <c r="F67" s="865"/>
      <c r="G67" s="865"/>
      <c r="H67" s="865"/>
      <c r="I67" s="866"/>
      <c r="J67" s="409"/>
    </row>
    <row r="68" spans="2:10" ht="18.75" customHeight="1">
      <c r="B68" s="598" t="s">
        <v>113</v>
      </c>
      <c r="C68" s="599"/>
      <c r="D68" s="305">
        <f>I88</f>
        <v>535.4300000000001</v>
      </c>
      <c r="E68" s="306"/>
      <c r="F68" s="306"/>
      <c r="G68" s="307"/>
      <c r="H68" s="307"/>
      <c r="I68" s="308" t="s">
        <v>1089</v>
      </c>
      <c r="J68" s="409"/>
    </row>
    <row r="69" spans="2:10" ht="18.75" customHeight="1">
      <c r="B69" s="867"/>
      <c r="C69" s="868"/>
      <c r="D69" s="868"/>
      <c r="E69" s="868"/>
      <c r="F69" s="868"/>
      <c r="G69" s="868"/>
      <c r="H69" s="868"/>
      <c r="I69" s="869"/>
      <c r="J69" s="409"/>
    </row>
    <row r="70" spans="2:10" ht="18.75" customHeight="1">
      <c r="B70" s="309" t="s">
        <v>41</v>
      </c>
      <c r="C70" s="310" t="s">
        <v>114</v>
      </c>
      <c r="D70" s="310"/>
      <c r="E70" s="310"/>
      <c r="F70" s="310" t="s">
        <v>4</v>
      </c>
      <c r="G70" s="310" t="s">
        <v>115</v>
      </c>
      <c r="H70" s="310" t="s">
        <v>116</v>
      </c>
      <c r="I70" s="311" t="s">
        <v>117</v>
      </c>
      <c r="J70" s="409"/>
    </row>
    <row r="71" spans="2:10" ht="18.75" customHeight="1">
      <c r="B71" s="855" t="s">
        <v>118</v>
      </c>
      <c r="C71" s="856"/>
      <c r="D71" s="856"/>
      <c r="E71" s="856"/>
      <c r="F71" s="856"/>
      <c r="G71" s="856"/>
      <c r="H71" s="856"/>
      <c r="I71" s="857"/>
      <c r="J71" s="409"/>
    </row>
    <row r="72" spans="2:10" ht="18.75" customHeight="1">
      <c r="B72" s="596" t="s">
        <v>989</v>
      </c>
      <c r="C72" s="858" t="s">
        <v>988</v>
      </c>
      <c r="D72" s="858"/>
      <c r="E72" s="858"/>
      <c r="F72" s="597" t="s">
        <v>126</v>
      </c>
      <c r="G72" s="312">
        <v>2.33</v>
      </c>
      <c r="H72" s="312">
        <f>12.77/1.8946</f>
        <v>6.740209015095534</v>
      </c>
      <c r="I72" s="313">
        <f>ROUND(G72*H72,2)</f>
        <v>15.7</v>
      </c>
      <c r="J72" s="409"/>
    </row>
    <row r="73" spans="2:10" ht="18.75" customHeight="1">
      <c r="B73" s="642" t="s">
        <v>640</v>
      </c>
      <c r="C73" s="858" t="s">
        <v>637</v>
      </c>
      <c r="D73" s="858"/>
      <c r="E73" s="858"/>
      <c r="F73" s="643" t="s">
        <v>126</v>
      </c>
      <c r="G73" s="312">
        <v>1.624</v>
      </c>
      <c r="H73" s="312">
        <f>12.91/1.8946</f>
        <v>6.8141032407896125</v>
      </c>
      <c r="I73" s="313">
        <f>ROUND(G73*H73,2)</f>
        <v>11.07</v>
      </c>
      <c r="J73" s="409"/>
    </row>
    <row r="74" spans="2:10" ht="18.75" customHeight="1">
      <c r="B74" s="596" t="s">
        <v>128</v>
      </c>
      <c r="C74" s="595" t="s">
        <v>129</v>
      </c>
      <c r="D74" s="595"/>
      <c r="E74" s="595"/>
      <c r="F74" s="597" t="s">
        <v>126</v>
      </c>
      <c r="G74" s="312">
        <v>3.95</v>
      </c>
      <c r="H74" s="312">
        <f>10.05/1.8946</f>
        <v>5.304549773039164</v>
      </c>
      <c r="I74" s="313">
        <f>ROUND(G74*H74,2)</f>
        <v>20.95</v>
      </c>
      <c r="J74" s="409"/>
    </row>
    <row r="75" spans="2:10" ht="18.75" customHeight="1">
      <c r="B75" s="859" t="s">
        <v>119</v>
      </c>
      <c r="C75" s="860"/>
      <c r="D75" s="860"/>
      <c r="E75" s="860"/>
      <c r="F75" s="860"/>
      <c r="G75" s="860"/>
      <c r="H75" s="860"/>
      <c r="I75" s="314">
        <f>SUM(I72:I74)</f>
        <v>47.72</v>
      </c>
      <c r="J75" s="409"/>
    </row>
    <row r="76" spans="2:10" ht="18.75" customHeight="1">
      <c r="B76" s="855" t="s">
        <v>216</v>
      </c>
      <c r="C76" s="856"/>
      <c r="D76" s="856"/>
      <c r="E76" s="856"/>
      <c r="F76" s="856"/>
      <c r="G76" s="856"/>
      <c r="H76" s="856"/>
      <c r="I76" s="857"/>
      <c r="J76" s="409"/>
    </row>
    <row r="77" spans="2:10" ht="39.75" customHeight="1">
      <c r="B77" s="596" t="s">
        <v>991</v>
      </c>
      <c r="C77" s="858" t="s">
        <v>990</v>
      </c>
      <c r="D77" s="858"/>
      <c r="E77" s="858"/>
      <c r="F77" s="597" t="s">
        <v>734</v>
      </c>
      <c r="G77" s="312">
        <v>0.0116</v>
      </c>
      <c r="H77" s="312">
        <v>433.43</v>
      </c>
      <c r="I77" s="313">
        <f aca="true" t="shared" si="2" ref="I77:I83">ROUND(G77*H77,2)</f>
        <v>5.03</v>
      </c>
      <c r="J77" s="409"/>
    </row>
    <row r="78" spans="2:10" ht="14.25">
      <c r="B78" s="596" t="s">
        <v>1004</v>
      </c>
      <c r="C78" s="595" t="s">
        <v>1003</v>
      </c>
      <c r="D78" s="595"/>
      <c r="E78" s="595"/>
      <c r="F78" s="597" t="s">
        <v>127</v>
      </c>
      <c r="G78" s="312">
        <v>6</v>
      </c>
      <c r="H78" s="312">
        <v>34.8</v>
      </c>
      <c r="I78" s="313">
        <f t="shared" si="2"/>
        <v>208.8</v>
      </c>
      <c r="J78" s="409"/>
    </row>
    <row r="79" spans="2:10" ht="30" customHeight="1">
      <c r="B79" s="596" t="s">
        <v>993</v>
      </c>
      <c r="C79" s="858" t="s">
        <v>992</v>
      </c>
      <c r="D79" s="858"/>
      <c r="E79" s="858"/>
      <c r="F79" s="597" t="s">
        <v>994</v>
      </c>
      <c r="G79" s="312">
        <v>1.1</v>
      </c>
      <c r="H79" s="312">
        <v>26.52</v>
      </c>
      <c r="I79" s="313">
        <f t="shared" si="2"/>
        <v>29.17</v>
      </c>
      <c r="J79" s="409"/>
    </row>
    <row r="80" spans="2:10" ht="28.5" customHeight="1">
      <c r="B80" s="596" t="s">
        <v>996</v>
      </c>
      <c r="C80" s="858" t="s">
        <v>995</v>
      </c>
      <c r="D80" s="858"/>
      <c r="E80" s="858"/>
      <c r="F80" s="597" t="s">
        <v>127</v>
      </c>
      <c r="G80" s="312">
        <v>6</v>
      </c>
      <c r="H80" s="312">
        <v>0.62</v>
      </c>
      <c r="I80" s="313">
        <f t="shared" si="2"/>
        <v>3.72</v>
      </c>
      <c r="J80" s="409"/>
    </row>
    <row r="81" spans="2:10" ht="27" customHeight="1">
      <c r="B81" s="596" t="s">
        <v>998</v>
      </c>
      <c r="C81" s="858" t="s">
        <v>997</v>
      </c>
      <c r="D81" s="858"/>
      <c r="E81" s="858"/>
      <c r="F81" s="597" t="s">
        <v>127</v>
      </c>
      <c r="G81" s="312">
        <v>2</v>
      </c>
      <c r="H81" s="312">
        <v>79.22</v>
      </c>
      <c r="I81" s="313">
        <f t="shared" si="2"/>
        <v>158.44</v>
      </c>
      <c r="J81" s="409"/>
    </row>
    <row r="82" spans="2:10" ht="28.5" customHeight="1">
      <c r="B82" s="596" t="s">
        <v>1000</v>
      </c>
      <c r="C82" s="858" t="s">
        <v>999</v>
      </c>
      <c r="D82" s="858"/>
      <c r="E82" s="858"/>
      <c r="F82" s="597" t="s">
        <v>283</v>
      </c>
      <c r="G82" s="312">
        <v>11.6</v>
      </c>
      <c r="H82" s="312">
        <v>2.95</v>
      </c>
      <c r="I82" s="313">
        <f t="shared" si="2"/>
        <v>34.22</v>
      </c>
      <c r="J82" s="409"/>
    </row>
    <row r="83" spans="2:10" ht="18.75" customHeight="1">
      <c r="B83" s="596" t="s">
        <v>1002</v>
      </c>
      <c r="C83" s="595" t="s">
        <v>1001</v>
      </c>
      <c r="D83" s="595"/>
      <c r="E83" s="595"/>
      <c r="F83" s="597" t="s">
        <v>121</v>
      </c>
      <c r="G83" s="312">
        <v>0.696</v>
      </c>
      <c r="H83" s="312">
        <v>8.11</v>
      </c>
      <c r="I83" s="313">
        <f t="shared" si="2"/>
        <v>5.64</v>
      </c>
      <c r="J83" s="409"/>
    </row>
    <row r="84" spans="2:10" ht="18.75" customHeight="1">
      <c r="B84" s="859" t="s">
        <v>122</v>
      </c>
      <c r="C84" s="860"/>
      <c r="D84" s="860"/>
      <c r="E84" s="860"/>
      <c r="F84" s="860"/>
      <c r="G84" s="860"/>
      <c r="H84" s="860"/>
      <c r="I84" s="314">
        <f>SUM(I77:I83)</f>
        <v>445.02</v>
      </c>
      <c r="J84" s="409"/>
    </row>
    <row r="85" spans="2:10" ht="18.75" customHeight="1">
      <c r="B85" s="861"/>
      <c r="C85" s="862"/>
      <c r="D85" s="862"/>
      <c r="E85" s="862"/>
      <c r="F85" s="862"/>
      <c r="G85" s="862"/>
      <c r="H85" s="862"/>
      <c r="I85" s="863"/>
      <c r="J85" s="409"/>
    </row>
    <row r="86" spans="2:10" ht="18.75" customHeight="1">
      <c r="B86" s="851" t="s">
        <v>123</v>
      </c>
      <c r="C86" s="852"/>
      <c r="D86" s="852"/>
      <c r="E86" s="852"/>
      <c r="F86" s="852"/>
      <c r="G86" s="852"/>
      <c r="H86" s="852"/>
      <c r="I86" s="315">
        <f>I75+I84</f>
        <v>492.74</v>
      </c>
      <c r="J86" s="409"/>
    </row>
    <row r="87" spans="2:10" ht="18.75" customHeight="1">
      <c r="B87" s="851" t="s">
        <v>124</v>
      </c>
      <c r="C87" s="852"/>
      <c r="D87" s="852"/>
      <c r="E87" s="852"/>
      <c r="F87" s="852"/>
      <c r="G87" s="852"/>
      <c r="H87" s="852"/>
      <c r="I87" s="315">
        <f>ROUND(I75*$D$14,2)</f>
        <v>42.69</v>
      </c>
      <c r="J87" s="409"/>
    </row>
    <row r="88" spans="2:10" ht="18.75" customHeight="1">
      <c r="B88" s="853" t="s">
        <v>125</v>
      </c>
      <c r="C88" s="854"/>
      <c r="D88" s="854"/>
      <c r="E88" s="854"/>
      <c r="F88" s="854"/>
      <c r="G88" s="854"/>
      <c r="H88" s="854"/>
      <c r="I88" s="316">
        <f>I86+I87</f>
        <v>535.4300000000001</v>
      </c>
      <c r="J88" s="409"/>
    </row>
    <row r="89" spans="2:10" ht="18.75" customHeight="1">
      <c r="B89" s="647"/>
      <c r="C89" s="648"/>
      <c r="D89" s="649"/>
      <c r="E89" s="649"/>
      <c r="F89" s="650"/>
      <c r="G89" s="650"/>
      <c r="H89" s="650"/>
      <c r="I89" s="651"/>
      <c r="J89" s="409"/>
    </row>
    <row r="90" spans="2:10" ht="18.75" customHeight="1">
      <c r="B90" s="864" t="s">
        <v>703</v>
      </c>
      <c r="C90" s="865"/>
      <c r="D90" s="865"/>
      <c r="E90" s="865"/>
      <c r="F90" s="865"/>
      <c r="G90" s="865"/>
      <c r="H90" s="865"/>
      <c r="I90" s="866"/>
      <c r="J90" s="409"/>
    </row>
    <row r="91" spans="2:10" ht="18.75" customHeight="1">
      <c r="B91" s="412" t="s">
        <v>113</v>
      </c>
      <c r="C91" s="413"/>
      <c r="D91" s="305">
        <f>I106</f>
        <v>24.82</v>
      </c>
      <c r="E91" s="306"/>
      <c r="F91" s="306"/>
      <c r="G91" s="307"/>
      <c r="H91" s="307"/>
      <c r="I91" s="308" t="s">
        <v>704</v>
      </c>
      <c r="J91" s="409"/>
    </row>
    <row r="92" spans="2:10" ht="18.75" customHeight="1">
      <c r="B92" s="867"/>
      <c r="C92" s="868"/>
      <c r="D92" s="868"/>
      <c r="E92" s="868"/>
      <c r="F92" s="868"/>
      <c r="G92" s="868"/>
      <c r="H92" s="868"/>
      <c r="I92" s="869"/>
      <c r="J92" s="409"/>
    </row>
    <row r="93" spans="2:10" ht="18.75" customHeight="1">
      <c r="B93" s="309" t="s">
        <v>41</v>
      </c>
      <c r="C93" s="310" t="s">
        <v>114</v>
      </c>
      <c r="D93" s="310"/>
      <c r="E93" s="310"/>
      <c r="F93" s="310" t="s">
        <v>4</v>
      </c>
      <c r="G93" s="310" t="s">
        <v>115</v>
      </c>
      <c r="H93" s="310" t="s">
        <v>116</v>
      </c>
      <c r="I93" s="311" t="s">
        <v>117</v>
      </c>
      <c r="J93" s="409"/>
    </row>
    <row r="94" spans="2:10" ht="18.75" customHeight="1">
      <c r="B94" s="855" t="s">
        <v>118</v>
      </c>
      <c r="C94" s="856"/>
      <c r="D94" s="856"/>
      <c r="E94" s="856"/>
      <c r="F94" s="856"/>
      <c r="G94" s="856"/>
      <c r="H94" s="856"/>
      <c r="I94" s="857"/>
      <c r="J94" s="409"/>
    </row>
    <row r="95" spans="2:10" ht="18.75" customHeight="1">
      <c r="B95" s="414" t="s">
        <v>214</v>
      </c>
      <c r="C95" s="858" t="s">
        <v>638</v>
      </c>
      <c r="D95" s="858"/>
      <c r="E95" s="858"/>
      <c r="F95" s="415" t="s">
        <v>126</v>
      </c>
      <c r="G95" s="312">
        <v>0.8</v>
      </c>
      <c r="H95" s="312">
        <f>12.91/1.8946</f>
        <v>6.8141032407896125</v>
      </c>
      <c r="I95" s="313">
        <f>ROUND(G95*H95,2)</f>
        <v>5.45</v>
      </c>
      <c r="J95" s="409"/>
    </row>
    <row r="96" spans="2:10" ht="18.75" customHeight="1">
      <c r="B96" s="414" t="s">
        <v>128</v>
      </c>
      <c r="C96" s="858" t="s">
        <v>639</v>
      </c>
      <c r="D96" s="858"/>
      <c r="E96" s="858"/>
      <c r="F96" s="415" t="s">
        <v>126</v>
      </c>
      <c r="G96" s="312">
        <v>0.8</v>
      </c>
      <c r="H96" s="312">
        <f>10.51/1.8946</f>
        <v>5.5473450860339915</v>
      </c>
      <c r="I96" s="313">
        <f>ROUND(G96*H96,2)</f>
        <v>4.44</v>
      </c>
      <c r="J96" s="409"/>
    </row>
    <row r="97" spans="2:10" ht="18.75" customHeight="1">
      <c r="B97" s="859" t="s">
        <v>119</v>
      </c>
      <c r="C97" s="860"/>
      <c r="D97" s="860"/>
      <c r="E97" s="860"/>
      <c r="F97" s="860"/>
      <c r="G97" s="860"/>
      <c r="H97" s="860"/>
      <c r="I97" s="314">
        <f>SUM(I95:I96)</f>
        <v>9.89</v>
      </c>
      <c r="J97" s="409"/>
    </row>
    <row r="98" spans="2:10" ht="18.75" customHeight="1">
      <c r="B98" s="855" t="s">
        <v>216</v>
      </c>
      <c r="C98" s="856"/>
      <c r="D98" s="856"/>
      <c r="E98" s="856"/>
      <c r="F98" s="856"/>
      <c r="G98" s="856"/>
      <c r="H98" s="856"/>
      <c r="I98" s="857"/>
      <c r="J98" s="409"/>
    </row>
    <row r="99" spans="2:10" ht="18.75" customHeight="1">
      <c r="B99" s="414" t="s">
        <v>708</v>
      </c>
      <c r="C99" s="858" t="s">
        <v>705</v>
      </c>
      <c r="D99" s="858"/>
      <c r="E99" s="858"/>
      <c r="F99" s="415" t="s">
        <v>283</v>
      </c>
      <c r="G99" s="312">
        <v>1.1</v>
      </c>
      <c r="H99" s="312">
        <v>4.6</v>
      </c>
      <c r="I99" s="313">
        <f>ROUND(G99*H99,2)</f>
        <v>5.06</v>
      </c>
      <c r="J99" s="409"/>
    </row>
    <row r="100" spans="2:10" ht="18.75" customHeight="1">
      <c r="B100" s="414" t="s">
        <v>711</v>
      </c>
      <c r="C100" s="858" t="s">
        <v>706</v>
      </c>
      <c r="D100" s="858"/>
      <c r="E100" s="858"/>
      <c r="F100" s="415" t="s">
        <v>127</v>
      </c>
      <c r="G100" s="446">
        <v>0.0128</v>
      </c>
      <c r="H100" s="312">
        <v>34.69</v>
      </c>
      <c r="I100" s="313">
        <f>ROUND(G100*H100,2)</f>
        <v>0.44</v>
      </c>
      <c r="J100" s="409"/>
    </row>
    <row r="101" spans="2:10" ht="18.75" customHeight="1">
      <c r="B101" s="414" t="s">
        <v>709</v>
      </c>
      <c r="C101" s="858" t="s">
        <v>707</v>
      </c>
      <c r="D101" s="858"/>
      <c r="E101" s="858"/>
      <c r="F101" s="415" t="s">
        <v>127</v>
      </c>
      <c r="G101" s="446">
        <v>0.0193</v>
      </c>
      <c r="H101" s="312">
        <v>30.12</v>
      </c>
      <c r="I101" s="313">
        <f>ROUND(G101*H101,2)</f>
        <v>0.58</v>
      </c>
      <c r="J101" s="409"/>
    </row>
    <row r="102" spans="2:10" ht="18.75" customHeight="1">
      <c r="B102" s="859" t="s">
        <v>122</v>
      </c>
      <c r="C102" s="860"/>
      <c r="D102" s="860"/>
      <c r="E102" s="860"/>
      <c r="F102" s="860"/>
      <c r="G102" s="860"/>
      <c r="H102" s="860"/>
      <c r="I102" s="314">
        <f>SUM(I99:I101)</f>
        <v>6.08</v>
      </c>
      <c r="J102" s="409"/>
    </row>
    <row r="103" spans="2:10" ht="18.75" customHeight="1">
      <c r="B103" s="861"/>
      <c r="C103" s="862"/>
      <c r="D103" s="862"/>
      <c r="E103" s="862"/>
      <c r="F103" s="862"/>
      <c r="G103" s="862"/>
      <c r="H103" s="862"/>
      <c r="I103" s="863"/>
      <c r="J103" s="409"/>
    </row>
    <row r="104" spans="2:10" ht="18.75" customHeight="1">
      <c r="B104" s="851" t="s">
        <v>123</v>
      </c>
      <c r="C104" s="852"/>
      <c r="D104" s="852"/>
      <c r="E104" s="852"/>
      <c r="F104" s="852"/>
      <c r="G104" s="852"/>
      <c r="H104" s="852"/>
      <c r="I104" s="315">
        <f>I97+I102</f>
        <v>15.97</v>
      </c>
      <c r="J104" s="409"/>
    </row>
    <row r="105" spans="2:10" ht="18.75" customHeight="1">
      <c r="B105" s="851" t="s">
        <v>124</v>
      </c>
      <c r="C105" s="852"/>
      <c r="D105" s="852"/>
      <c r="E105" s="852"/>
      <c r="F105" s="852"/>
      <c r="G105" s="852"/>
      <c r="H105" s="852"/>
      <c r="I105" s="315">
        <f>ROUND(I97*$D$14,2)</f>
        <v>8.85</v>
      </c>
      <c r="J105" s="409"/>
    </row>
    <row r="106" spans="2:10" ht="18.75" customHeight="1">
      <c r="B106" s="853" t="s">
        <v>125</v>
      </c>
      <c r="C106" s="854"/>
      <c r="D106" s="854"/>
      <c r="E106" s="854"/>
      <c r="F106" s="854"/>
      <c r="G106" s="854"/>
      <c r="H106" s="854"/>
      <c r="I106" s="316">
        <f>I104+I105</f>
        <v>24.82</v>
      </c>
      <c r="J106" s="409"/>
    </row>
    <row r="107" spans="2:10" ht="18.75" customHeight="1">
      <c r="B107" s="317"/>
      <c r="C107" s="303"/>
      <c r="E107" s="319"/>
      <c r="H107" s="303"/>
      <c r="I107" s="303"/>
      <c r="J107" s="409"/>
    </row>
    <row r="108" spans="2:10" ht="18.75" customHeight="1">
      <c r="B108" s="864" t="s">
        <v>720</v>
      </c>
      <c r="C108" s="865"/>
      <c r="D108" s="865"/>
      <c r="E108" s="865"/>
      <c r="F108" s="865"/>
      <c r="G108" s="865"/>
      <c r="H108" s="865"/>
      <c r="I108" s="866"/>
      <c r="J108" s="409"/>
    </row>
    <row r="109" spans="2:10" ht="18.75" customHeight="1">
      <c r="B109" s="412" t="s">
        <v>113</v>
      </c>
      <c r="C109" s="413"/>
      <c r="D109" s="305">
        <f>I124</f>
        <v>26.480000000000004</v>
      </c>
      <c r="E109" s="306"/>
      <c r="F109" s="306"/>
      <c r="G109" s="307"/>
      <c r="H109" s="307"/>
      <c r="I109" s="308" t="s">
        <v>704</v>
      </c>
      <c r="J109" s="409"/>
    </row>
    <row r="110" spans="2:10" ht="18.75" customHeight="1">
      <c r="B110" s="867"/>
      <c r="C110" s="868"/>
      <c r="D110" s="868"/>
      <c r="E110" s="868"/>
      <c r="F110" s="868"/>
      <c r="G110" s="868"/>
      <c r="H110" s="868"/>
      <c r="I110" s="869"/>
      <c r="J110" s="409"/>
    </row>
    <row r="111" spans="2:10" ht="18.75" customHeight="1">
      <c r="B111" s="309" t="s">
        <v>41</v>
      </c>
      <c r="C111" s="310" t="s">
        <v>114</v>
      </c>
      <c r="D111" s="310"/>
      <c r="E111" s="310"/>
      <c r="F111" s="310" t="s">
        <v>4</v>
      </c>
      <c r="G111" s="310" t="s">
        <v>115</v>
      </c>
      <c r="H111" s="310" t="s">
        <v>116</v>
      </c>
      <c r="I111" s="311" t="s">
        <v>117</v>
      </c>
      <c r="J111" s="409"/>
    </row>
    <row r="112" spans="2:10" ht="18.75" customHeight="1">
      <c r="B112" s="855" t="s">
        <v>118</v>
      </c>
      <c r="C112" s="856"/>
      <c r="D112" s="856"/>
      <c r="E112" s="856"/>
      <c r="F112" s="856"/>
      <c r="G112" s="856"/>
      <c r="H112" s="856"/>
      <c r="I112" s="857"/>
      <c r="J112" s="409"/>
    </row>
    <row r="113" spans="2:10" ht="18.75" customHeight="1">
      <c r="B113" s="414" t="s">
        <v>214</v>
      </c>
      <c r="C113" s="858" t="s">
        <v>638</v>
      </c>
      <c r="D113" s="858"/>
      <c r="E113" s="858"/>
      <c r="F113" s="415" t="s">
        <v>126</v>
      </c>
      <c r="G113" s="312">
        <v>0.8</v>
      </c>
      <c r="H113" s="312">
        <f>12.91/1.8946</f>
        <v>6.8141032407896125</v>
      </c>
      <c r="I113" s="313">
        <f>ROUND(G113*H113,2)</f>
        <v>5.45</v>
      </c>
      <c r="J113" s="409"/>
    </row>
    <row r="114" spans="2:10" ht="18.75" customHeight="1">
      <c r="B114" s="414" t="s">
        <v>128</v>
      </c>
      <c r="C114" s="858" t="s">
        <v>639</v>
      </c>
      <c r="D114" s="858"/>
      <c r="E114" s="858"/>
      <c r="F114" s="415" t="s">
        <v>126</v>
      </c>
      <c r="G114" s="312">
        <v>0.8</v>
      </c>
      <c r="H114" s="312">
        <f>10.51/1.8946</f>
        <v>5.5473450860339915</v>
      </c>
      <c r="I114" s="313">
        <f>ROUND(G114*H114,2)</f>
        <v>4.44</v>
      </c>
      <c r="J114" s="409"/>
    </row>
    <row r="115" spans="2:10" ht="18.75" customHeight="1">
      <c r="B115" s="859" t="s">
        <v>119</v>
      </c>
      <c r="C115" s="860"/>
      <c r="D115" s="860"/>
      <c r="E115" s="860"/>
      <c r="F115" s="860"/>
      <c r="G115" s="860"/>
      <c r="H115" s="860"/>
      <c r="I115" s="314">
        <f>SUM(I113:I114)</f>
        <v>9.89</v>
      </c>
      <c r="J115" s="409"/>
    </row>
    <row r="116" spans="2:10" ht="18.75" customHeight="1">
      <c r="B116" s="855" t="s">
        <v>216</v>
      </c>
      <c r="C116" s="856"/>
      <c r="D116" s="856"/>
      <c r="E116" s="856"/>
      <c r="F116" s="856"/>
      <c r="G116" s="856"/>
      <c r="H116" s="856"/>
      <c r="I116" s="857"/>
      <c r="J116" s="409"/>
    </row>
    <row r="117" spans="2:10" ht="18.75" customHeight="1">
      <c r="B117" s="414" t="s">
        <v>710</v>
      </c>
      <c r="C117" s="858" t="s">
        <v>712</v>
      </c>
      <c r="D117" s="858"/>
      <c r="E117" s="858"/>
      <c r="F117" s="415" t="s">
        <v>283</v>
      </c>
      <c r="G117" s="312">
        <v>1.1</v>
      </c>
      <c r="H117" s="312">
        <v>6.11</v>
      </c>
      <c r="I117" s="313">
        <f>ROUND(G117*H117,2)</f>
        <v>6.72</v>
      </c>
      <c r="J117" s="409"/>
    </row>
    <row r="118" spans="2:10" ht="18.75" customHeight="1">
      <c r="B118" s="414" t="s">
        <v>711</v>
      </c>
      <c r="C118" s="858" t="s">
        <v>706</v>
      </c>
      <c r="D118" s="858"/>
      <c r="E118" s="858"/>
      <c r="F118" s="415" t="s">
        <v>127</v>
      </c>
      <c r="G118" s="446">
        <v>0.0128</v>
      </c>
      <c r="H118" s="312">
        <v>34.69</v>
      </c>
      <c r="I118" s="313">
        <f>ROUND(G118*H118,2)</f>
        <v>0.44</v>
      </c>
      <c r="J118" s="409"/>
    </row>
    <row r="119" spans="2:10" ht="18.75" customHeight="1">
      <c r="B119" s="414" t="s">
        <v>709</v>
      </c>
      <c r="C119" s="858" t="s">
        <v>707</v>
      </c>
      <c r="D119" s="858"/>
      <c r="E119" s="858"/>
      <c r="F119" s="415" t="s">
        <v>127</v>
      </c>
      <c r="G119" s="446">
        <v>0.0193</v>
      </c>
      <c r="H119" s="312">
        <v>30.12</v>
      </c>
      <c r="I119" s="313">
        <f>ROUND(G119*H119,2)</f>
        <v>0.58</v>
      </c>
      <c r="J119" s="409"/>
    </row>
    <row r="120" spans="2:10" ht="18.75" customHeight="1">
      <c r="B120" s="859" t="s">
        <v>122</v>
      </c>
      <c r="C120" s="860"/>
      <c r="D120" s="860"/>
      <c r="E120" s="860"/>
      <c r="F120" s="860"/>
      <c r="G120" s="860"/>
      <c r="H120" s="860"/>
      <c r="I120" s="314">
        <f>SUM(I117:I119)</f>
        <v>7.74</v>
      </c>
      <c r="J120" s="409"/>
    </row>
    <row r="121" spans="2:10" ht="18.75" customHeight="1">
      <c r="B121" s="861"/>
      <c r="C121" s="862"/>
      <c r="D121" s="862"/>
      <c r="E121" s="862"/>
      <c r="F121" s="862"/>
      <c r="G121" s="862"/>
      <c r="H121" s="862"/>
      <c r="I121" s="863"/>
      <c r="J121" s="409"/>
    </row>
    <row r="122" spans="2:10" ht="18.75" customHeight="1">
      <c r="B122" s="851" t="s">
        <v>123</v>
      </c>
      <c r="C122" s="852"/>
      <c r="D122" s="852"/>
      <c r="E122" s="852"/>
      <c r="F122" s="852"/>
      <c r="G122" s="852"/>
      <c r="H122" s="852"/>
      <c r="I122" s="315">
        <f>I115+I120</f>
        <v>17.630000000000003</v>
      </c>
      <c r="J122" s="409"/>
    </row>
    <row r="123" spans="2:10" ht="18.75" customHeight="1">
      <c r="B123" s="851" t="s">
        <v>124</v>
      </c>
      <c r="C123" s="852"/>
      <c r="D123" s="852"/>
      <c r="E123" s="852"/>
      <c r="F123" s="852"/>
      <c r="G123" s="852"/>
      <c r="H123" s="852"/>
      <c r="I123" s="315">
        <f>ROUND(I115*$D$14,2)</f>
        <v>8.85</v>
      </c>
      <c r="J123" s="409"/>
    </row>
    <row r="124" spans="2:10" ht="18.75" customHeight="1">
      <c r="B124" s="853" t="s">
        <v>125</v>
      </c>
      <c r="C124" s="854"/>
      <c r="D124" s="854"/>
      <c r="E124" s="854"/>
      <c r="F124" s="854"/>
      <c r="G124" s="854"/>
      <c r="H124" s="854"/>
      <c r="I124" s="316">
        <f>I122+I123</f>
        <v>26.480000000000004</v>
      </c>
      <c r="J124" s="409"/>
    </row>
    <row r="125" spans="2:10" ht="18.75" customHeight="1">
      <c r="B125" s="317"/>
      <c r="C125" s="303"/>
      <c r="E125" s="319"/>
      <c r="H125" s="303"/>
      <c r="I125" s="303"/>
      <c r="J125" s="409"/>
    </row>
    <row r="126" spans="2:10" ht="18.75" customHeight="1">
      <c r="B126" s="864" t="s">
        <v>721</v>
      </c>
      <c r="C126" s="865"/>
      <c r="D126" s="865"/>
      <c r="E126" s="865"/>
      <c r="F126" s="865"/>
      <c r="G126" s="865"/>
      <c r="H126" s="865"/>
      <c r="I126" s="866"/>
      <c r="J126" s="409"/>
    </row>
    <row r="127" spans="2:10" ht="18.75" customHeight="1">
      <c r="B127" s="412" t="s">
        <v>113</v>
      </c>
      <c r="C127" s="413"/>
      <c r="D127" s="305">
        <f>I142</f>
        <v>32.019999999999996</v>
      </c>
      <c r="E127" s="306"/>
      <c r="F127" s="306"/>
      <c r="G127" s="307"/>
      <c r="H127" s="307"/>
      <c r="I127" s="308" t="s">
        <v>704</v>
      </c>
      <c r="J127" s="409"/>
    </row>
    <row r="128" spans="2:10" ht="18.75" customHeight="1">
      <c r="B128" s="867"/>
      <c r="C128" s="868"/>
      <c r="D128" s="868"/>
      <c r="E128" s="868"/>
      <c r="F128" s="868"/>
      <c r="G128" s="868"/>
      <c r="H128" s="868"/>
      <c r="I128" s="869"/>
      <c r="J128" s="409"/>
    </row>
    <row r="129" spans="2:10" ht="18.75" customHeight="1">
      <c r="B129" s="309" t="s">
        <v>41</v>
      </c>
      <c r="C129" s="310" t="s">
        <v>114</v>
      </c>
      <c r="D129" s="310"/>
      <c r="E129" s="310"/>
      <c r="F129" s="310" t="s">
        <v>4</v>
      </c>
      <c r="G129" s="310" t="s">
        <v>115</v>
      </c>
      <c r="H129" s="310" t="s">
        <v>116</v>
      </c>
      <c r="I129" s="311" t="s">
        <v>117</v>
      </c>
      <c r="J129" s="409"/>
    </row>
    <row r="130" spans="2:10" ht="18.75" customHeight="1">
      <c r="B130" s="855" t="s">
        <v>118</v>
      </c>
      <c r="C130" s="856"/>
      <c r="D130" s="856"/>
      <c r="E130" s="856"/>
      <c r="F130" s="856"/>
      <c r="G130" s="856"/>
      <c r="H130" s="856"/>
      <c r="I130" s="857"/>
      <c r="J130" s="409"/>
    </row>
    <row r="131" spans="2:10" ht="18.75" customHeight="1">
      <c r="B131" s="414" t="s">
        <v>214</v>
      </c>
      <c r="C131" s="858" t="s">
        <v>638</v>
      </c>
      <c r="D131" s="858"/>
      <c r="E131" s="858"/>
      <c r="F131" s="415" t="s">
        <v>126</v>
      </c>
      <c r="G131" s="312">
        <v>0.9</v>
      </c>
      <c r="H131" s="312">
        <f>12.91/1.8946</f>
        <v>6.8141032407896125</v>
      </c>
      <c r="I131" s="313">
        <f>ROUND(G131*H131,2)</f>
        <v>6.13</v>
      </c>
      <c r="J131" s="409"/>
    </row>
    <row r="132" spans="2:10" ht="18.75" customHeight="1">
      <c r="B132" s="414" t="s">
        <v>128</v>
      </c>
      <c r="C132" s="858" t="s">
        <v>639</v>
      </c>
      <c r="D132" s="858"/>
      <c r="E132" s="858"/>
      <c r="F132" s="415" t="s">
        <v>126</v>
      </c>
      <c r="G132" s="312">
        <v>0.9</v>
      </c>
      <c r="H132" s="312">
        <f>10.51/1.8946</f>
        <v>5.5473450860339915</v>
      </c>
      <c r="I132" s="313">
        <f>ROUND(G132*H132,2)</f>
        <v>4.99</v>
      </c>
      <c r="J132" s="409"/>
    </row>
    <row r="133" spans="2:10" ht="18.75" customHeight="1">
      <c r="B133" s="859" t="s">
        <v>119</v>
      </c>
      <c r="C133" s="860"/>
      <c r="D133" s="860"/>
      <c r="E133" s="860"/>
      <c r="F133" s="860"/>
      <c r="G133" s="860"/>
      <c r="H133" s="860"/>
      <c r="I133" s="314">
        <f>SUM(I131:I132)</f>
        <v>11.120000000000001</v>
      </c>
      <c r="J133" s="409"/>
    </row>
    <row r="134" spans="2:10" ht="18.75" customHeight="1">
      <c r="B134" s="855" t="s">
        <v>216</v>
      </c>
      <c r="C134" s="856"/>
      <c r="D134" s="856"/>
      <c r="E134" s="856"/>
      <c r="F134" s="856"/>
      <c r="G134" s="856"/>
      <c r="H134" s="856"/>
      <c r="I134" s="857"/>
      <c r="J134" s="409"/>
    </row>
    <row r="135" spans="2:10" ht="18.75" customHeight="1">
      <c r="B135" s="414" t="s">
        <v>714</v>
      </c>
      <c r="C135" s="858" t="s">
        <v>713</v>
      </c>
      <c r="D135" s="858"/>
      <c r="E135" s="858"/>
      <c r="F135" s="415" t="s">
        <v>283</v>
      </c>
      <c r="G135" s="312">
        <v>1.1</v>
      </c>
      <c r="H135" s="312">
        <v>7.78</v>
      </c>
      <c r="I135" s="313">
        <f>ROUND(G135*H135,2)</f>
        <v>8.56</v>
      </c>
      <c r="J135" s="409"/>
    </row>
    <row r="136" spans="2:10" ht="18.75" customHeight="1">
      <c r="B136" s="414" t="s">
        <v>711</v>
      </c>
      <c r="C136" s="858" t="s">
        <v>706</v>
      </c>
      <c r="D136" s="858"/>
      <c r="E136" s="858"/>
      <c r="F136" s="415" t="s">
        <v>127</v>
      </c>
      <c r="G136" s="446">
        <v>0.0293</v>
      </c>
      <c r="H136" s="312">
        <v>34.69</v>
      </c>
      <c r="I136" s="313">
        <f>ROUND(G136*H136,2)</f>
        <v>1.02</v>
      </c>
      <c r="J136" s="409"/>
    </row>
    <row r="137" spans="2:10" ht="18.75" customHeight="1">
      <c r="B137" s="414" t="s">
        <v>709</v>
      </c>
      <c r="C137" s="858" t="s">
        <v>707</v>
      </c>
      <c r="D137" s="858"/>
      <c r="E137" s="858"/>
      <c r="F137" s="415" t="s">
        <v>127</v>
      </c>
      <c r="G137" s="446">
        <v>0.0455</v>
      </c>
      <c r="H137" s="312">
        <v>30.12</v>
      </c>
      <c r="I137" s="313">
        <f>ROUND(G137*H137,2)</f>
        <v>1.37</v>
      </c>
      <c r="J137" s="409"/>
    </row>
    <row r="138" spans="2:10" ht="18.75" customHeight="1">
      <c r="B138" s="859" t="s">
        <v>122</v>
      </c>
      <c r="C138" s="860"/>
      <c r="D138" s="860"/>
      <c r="E138" s="860"/>
      <c r="F138" s="860"/>
      <c r="G138" s="860"/>
      <c r="H138" s="860"/>
      <c r="I138" s="314">
        <f>SUM(I135:I137)</f>
        <v>10.95</v>
      </c>
      <c r="J138" s="409"/>
    </row>
    <row r="139" spans="2:10" ht="18.75" customHeight="1">
      <c r="B139" s="861"/>
      <c r="C139" s="862"/>
      <c r="D139" s="862"/>
      <c r="E139" s="862"/>
      <c r="F139" s="862"/>
      <c r="G139" s="862"/>
      <c r="H139" s="862"/>
      <c r="I139" s="863"/>
      <c r="J139" s="409"/>
    </row>
    <row r="140" spans="2:10" ht="18.75" customHeight="1">
      <c r="B140" s="851" t="s">
        <v>123</v>
      </c>
      <c r="C140" s="852"/>
      <c r="D140" s="852"/>
      <c r="E140" s="852"/>
      <c r="F140" s="852"/>
      <c r="G140" s="852"/>
      <c r="H140" s="852"/>
      <c r="I140" s="315">
        <f>I133+I138</f>
        <v>22.07</v>
      </c>
      <c r="J140" s="409"/>
    </row>
    <row r="141" spans="2:10" ht="18.75" customHeight="1">
      <c r="B141" s="851" t="s">
        <v>124</v>
      </c>
      <c r="C141" s="852"/>
      <c r="D141" s="852"/>
      <c r="E141" s="852"/>
      <c r="F141" s="852"/>
      <c r="G141" s="852"/>
      <c r="H141" s="852"/>
      <c r="I141" s="315">
        <f>ROUND(I133*$D$14,2)</f>
        <v>9.95</v>
      </c>
      <c r="J141" s="409"/>
    </row>
    <row r="142" spans="2:10" ht="18.75" customHeight="1">
      <c r="B142" s="853" t="s">
        <v>125</v>
      </c>
      <c r="C142" s="854"/>
      <c r="D142" s="854"/>
      <c r="E142" s="854"/>
      <c r="F142" s="854"/>
      <c r="G142" s="854"/>
      <c r="H142" s="854"/>
      <c r="I142" s="316">
        <f>I140+I141</f>
        <v>32.019999999999996</v>
      </c>
      <c r="J142" s="409"/>
    </row>
    <row r="143" spans="2:10" ht="18.75" customHeight="1">
      <c r="B143" s="317"/>
      <c r="C143" s="303"/>
      <c r="E143" s="319"/>
      <c r="H143" s="303"/>
      <c r="I143" s="303"/>
      <c r="J143" s="409"/>
    </row>
    <row r="144" spans="2:10" ht="18.75" customHeight="1">
      <c r="B144" s="864" t="s">
        <v>722</v>
      </c>
      <c r="C144" s="865"/>
      <c r="D144" s="865"/>
      <c r="E144" s="865"/>
      <c r="F144" s="865"/>
      <c r="G144" s="865"/>
      <c r="H144" s="865"/>
      <c r="I144" s="866"/>
      <c r="J144" s="409"/>
    </row>
    <row r="145" spans="2:10" ht="18.75" customHeight="1">
      <c r="B145" s="412" t="s">
        <v>113</v>
      </c>
      <c r="C145" s="413"/>
      <c r="D145" s="305">
        <f>I160</f>
        <v>41.69</v>
      </c>
      <c r="E145" s="306"/>
      <c r="F145" s="306"/>
      <c r="G145" s="307"/>
      <c r="H145" s="307"/>
      <c r="I145" s="308" t="s">
        <v>704</v>
      </c>
      <c r="J145" s="409"/>
    </row>
    <row r="146" spans="2:10" ht="18.75" customHeight="1">
      <c r="B146" s="867"/>
      <c r="C146" s="868"/>
      <c r="D146" s="868"/>
      <c r="E146" s="868"/>
      <c r="F146" s="868"/>
      <c r="G146" s="868"/>
      <c r="H146" s="868"/>
      <c r="I146" s="869"/>
      <c r="J146" s="409"/>
    </row>
    <row r="147" spans="2:10" ht="18.75" customHeight="1">
      <c r="B147" s="309" t="s">
        <v>41</v>
      </c>
      <c r="C147" s="310" t="s">
        <v>114</v>
      </c>
      <c r="D147" s="310"/>
      <c r="E147" s="310"/>
      <c r="F147" s="310" t="s">
        <v>4</v>
      </c>
      <c r="G147" s="310" t="s">
        <v>115</v>
      </c>
      <c r="H147" s="310" t="s">
        <v>116</v>
      </c>
      <c r="I147" s="311" t="s">
        <v>117</v>
      </c>
      <c r="J147" s="409"/>
    </row>
    <row r="148" spans="2:10" ht="18.75" customHeight="1">
      <c r="B148" s="855" t="s">
        <v>118</v>
      </c>
      <c r="C148" s="856"/>
      <c r="D148" s="856"/>
      <c r="E148" s="856"/>
      <c r="F148" s="856"/>
      <c r="G148" s="856"/>
      <c r="H148" s="856"/>
      <c r="I148" s="857"/>
      <c r="J148" s="409"/>
    </row>
    <row r="149" spans="2:10" ht="18.75" customHeight="1">
      <c r="B149" s="414" t="s">
        <v>214</v>
      </c>
      <c r="C149" s="858" t="s">
        <v>638</v>
      </c>
      <c r="D149" s="858"/>
      <c r="E149" s="858"/>
      <c r="F149" s="415" t="s">
        <v>126</v>
      </c>
      <c r="G149" s="312">
        <v>1</v>
      </c>
      <c r="H149" s="312">
        <f>12.91/1.8946</f>
        <v>6.8141032407896125</v>
      </c>
      <c r="I149" s="313">
        <f>ROUND(G149*H149,2)</f>
        <v>6.81</v>
      </c>
      <c r="J149" s="409"/>
    </row>
    <row r="150" spans="2:10" ht="18.75" customHeight="1">
      <c r="B150" s="414" t="s">
        <v>128</v>
      </c>
      <c r="C150" s="858" t="s">
        <v>639</v>
      </c>
      <c r="D150" s="858"/>
      <c r="E150" s="858"/>
      <c r="F150" s="415" t="s">
        <v>126</v>
      </c>
      <c r="G150" s="312">
        <v>1</v>
      </c>
      <c r="H150" s="312">
        <f>10.51/1.8946</f>
        <v>5.5473450860339915</v>
      </c>
      <c r="I150" s="313">
        <f>ROUND(G150*H150,2)</f>
        <v>5.55</v>
      </c>
      <c r="J150" s="409"/>
    </row>
    <row r="151" spans="2:10" ht="18.75" customHeight="1">
      <c r="B151" s="859" t="s">
        <v>119</v>
      </c>
      <c r="C151" s="860"/>
      <c r="D151" s="860"/>
      <c r="E151" s="860"/>
      <c r="F151" s="860"/>
      <c r="G151" s="860"/>
      <c r="H151" s="860"/>
      <c r="I151" s="314">
        <f>SUM(I149:I150)</f>
        <v>12.36</v>
      </c>
      <c r="J151" s="409"/>
    </row>
    <row r="152" spans="2:10" ht="18.75" customHeight="1">
      <c r="B152" s="855" t="s">
        <v>216</v>
      </c>
      <c r="C152" s="856"/>
      <c r="D152" s="856"/>
      <c r="E152" s="856"/>
      <c r="F152" s="856"/>
      <c r="G152" s="856"/>
      <c r="H152" s="856"/>
      <c r="I152" s="857"/>
      <c r="J152" s="409"/>
    </row>
    <row r="153" spans="2:10" ht="18.75" customHeight="1">
      <c r="B153" s="414" t="s">
        <v>716</v>
      </c>
      <c r="C153" s="858" t="s">
        <v>715</v>
      </c>
      <c r="D153" s="858"/>
      <c r="E153" s="858"/>
      <c r="F153" s="415" t="s">
        <v>283</v>
      </c>
      <c r="G153" s="312">
        <v>1.1</v>
      </c>
      <c r="H153" s="312">
        <v>13.34</v>
      </c>
      <c r="I153" s="313">
        <f>ROUND(G153*H153,2)</f>
        <v>14.67</v>
      </c>
      <c r="J153" s="409"/>
    </row>
    <row r="154" spans="2:10" ht="18.75" customHeight="1">
      <c r="B154" s="414" t="s">
        <v>711</v>
      </c>
      <c r="C154" s="858" t="s">
        <v>706</v>
      </c>
      <c r="D154" s="858"/>
      <c r="E154" s="858"/>
      <c r="F154" s="415" t="s">
        <v>127</v>
      </c>
      <c r="G154" s="446">
        <v>0.0429</v>
      </c>
      <c r="H154" s="312">
        <v>34.69</v>
      </c>
      <c r="I154" s="313">
        <f>ROUND(G154*H154,2)</f>
        <v>1.49</v>
      </c>
      <c r="J154" s="409"/>
    </row>
    <row r="155" spans="2:10" ht="18.75" customHeight="1">
      <c r="B155" s="414" t="s">
        <v>709</v>
      </c>
      <c r="C155" s="858" t="s">
        <v>707</v>
      </c>
      <c r="D155" s="858"/>
      <c r="E155" s="858"/>
      <c r="F155" s="415" t="s">
        <v>127</v>
      </c>
      <c r="G155" s="446">
        <v>0.0701</v>
      </c>
      <c r="H155" s="312">
        <v>30.12</v>
      </c>
      <c r="I155" s="313">
        <f>ROUND(G155*H155,2)</f>
        <v>2.11</v>
      </c>
      <c r="J155" s="409"/>
    </row>
    <row r="156" spans="2:10" ht="18.75" customHeight="1">
      <c r="B156" s="859" t="s">
        <v>122</v>
      </c>
      <c r="C156" s="860"/>
      <c r="D156" s="860"/>
      <c r="E156" s="860"/>
      <c r="F156" s="860"/>
      <c r="G156" s="860"/>
      <c r="H156" s="860"/>
      <c r="I156" s="314">
        <f>SUM(I153:I155)</f>
        <v>18.27</v>
      </c>
      <c r="J156" s="409"/>
    </row>
    <row r="157" spans="2:10" ht="18.75" customHeight="1">
      <c r="B157" s="861"/>
      <c r="C157" s="862"/>
      <c r="D157" s="862"/>
      <c r="E157" s="862"/>
      <c r="F157" s="862"/>
      <c r="G157" s="862"/>
      <c r="H157" s="862"/>
      <c r="I157" s="863"/>
      <c r="J157" s="409"/>
    </row>
    <row r="158" spans="2:10" ht="18.75" customHeight="1">
      <c r="B158" s="851" t="s">
        <v>123</v>
      </c>
      <c r="C158" s="852"/>
      <c r="D158" s="852"/>
      <c r="E158" s="852"/>
      <c r="F158" s="852"/>
      <c r="G158" s="852"/>
      <c r="H158" s="852"/>
      <c r="I158" s="315">
        <f>I151+I156</f>
        <v>30.63</v>
      </c>
      <c r="J158" s="409"/>
    </row>
    <row r="159" spans="2:10" ht="18.75" customHeight="1">
      <c r="B159" s="851" t="s">
        <v>124</v>
      </c>
      <c r="C159" s="852"/>
      <c r="D159" s="852"/>
      <c r="E159" s="852"/>
      <c r="F159" s="852"/>
      <c r="G159" s="852"/>
      <c r="H159" s="852"/>
      <c r="I159" s="315">
        <f>ROUND(I151*$D$14,2)</f>
        <v>11.06</v>
      </c>
      <c r="J159" s="409"/>
    </row>
    <row r="160" spans="2:10" ht="18.75" customHeight="1">
      <c r="B160" s="853" t="s">
        <v>125</v>
      </c>
      <c r="C160" s="854"/>
      <c r="D160" s="854"/>
      <c r="E160" s="854"/>
      <c r="F160" s="854"/>
      <c r="G160" s="854"/>
      <c r="H160" s="854"/>
      <c r="I160" s="316">
        <f>I158+I159</f>
        <v>41.69</v>
      </c>
      <c r="J160" s="409"/>
    </row>
    <row r="161" spans="2:10" ht="18.75" customHeight="1">
      <c r="B161" s="317"/>
      <c r="C161" s="303"/>
      <c r="E161" s="319"/>
      <c r="H161" s="303"/>
      <c r="I161" s="303"/>
      <c r="J161" s="409"/>
    </row>
    <row r="162" spans="2:10" ht="18.75" customHeight="1">
      <c r="B162" s="864" t="s">
        <v>723</v>
      </c>
      <c r="C162" s="865"/>
      <c r="D162" s="865"/>
      <c r="E162" s="865"/>
      <c r="F162" s="865"/>
      <c r="G162" s="865"/>
      <c r="H162" s="865"/>
      <c r="I162" s="866"/>
      <c r="J162" s="409"/>
    </row>
    <row r="163" spans="2:10" ht="18.75" customHeight="1">
      <c r="B163" s="412" t="s">
        <v>113</v>
      </c>
      <c r="C163" s="413"/>
      <c r="D163" s="305">
        <f>I178</f>
        <v>59.230000000000004</v>
      </c>
      <c r="E163" s="306"/>
      <c r="F163" s="306"/>
      <c r="G163" s="307"/>
      <c r="H163" s="307"/>
      <c r="I163" s="308" t="s">
        <v>704</v>
      </c>
      <c r="J163" s="409"/>
    </row>
    <row r="164" spans="2:10" ht="18.75" customHeight="1">
      <c r="B164" s="867"/>
      <c r="C164" s="868"/>
      <c r="D164" s="868"/>
      <c r="E164" s="868"/>
      <c r="F164" s="868"/>
      <c r="G164" s="868"/>
      <c r="H164" s="868"/>
      <c r="I164" s="869"/>
      <c r="J164" s="409"/>
    </row>
    <row r="165" spans="2:10" ht="18.75" customHeight="1">
      <c r="B165" s="309" t="s">
        <v>41</v>
      </c>
      <c r="C165" s="310" t="s">
        <v>114</v>
      </c>
      <c r="D165" s="310"/>
      <c r="E165" s="310"/>
      <c r="F165" s="310" t="s">
        <v>4</v>
      </c>
      <c r="G165" s="310" t="s">
        <v>115</v>
      </c>
      <c r="H165" s="310" t="s">
        <v>116</v>
      </c>
      <c r="I165" s="311" t="s">
        <v>117</v>
      </c>
      <c r="J165" s="409"/>
    </row>
    <row r="166" spans="2:10" ht="18.75" customHeight="1">
      <c r="B166" s="855" t="s">
        <v>118</v>
      </c>
      <c r="C166" s="856"/>
      <c r="D166" s="856"/>
      <c r="E166" s="856"/>
      <c r="F166" s="856"/>
      <c r="G166" s="856"/>
      <c r="H166" s="856"/>
      <c r="I166" s="857"/>
      <c r="J166" s="409"/>
    </row>
    <row r="167" spans="2:10" ht="18.75" customHeight="1">
      <c r="B167" s="414" t="s">
        <v>214</v>
      </c>
      <c r="C167" s="858" t="s">
        <v>638</v>
      </c>
      <c r="D167" s="858"/>
      <c r="E167" s="858"/>
      <c r="F167" s="415" t="s">
        <v>126</v>
      </c>
      <c r="G167" s="312">
        <v>1.2</v>
      </c>
      <c r="H167" s="312">
        <f>12.91/1.8946</f>
        <v>6.8141032407896125</v>
      </c>
      <c r="I167" s="313">
        <f>ROUND(G167*H167,2)</f>
        <v>8.18</v>
      </c>
      <c r="J167" s="409"/>
    </row>
    <row r="168" spans="2:10" ht="18.75" customHeight="1">
      <c r="B168" s="414" t="s">
        <v>128</v>
      </c>
      <c r="C168" s="858" t="s">
        <v>639</v>
      </c>
      <c r="D168" s="858"/>
      <c r="E168" s="858"/>
      <c r="F168" s="415" t="s">
        <v>126</v>
      </c>
      <c r="G168" s="312">
        <v>1.2</v>
      </c>
      <c r="H168" s="312">
        <f>10.51/1.8946</f>
        <v>5.5473450860339915</v>
      </c>
      <c r="I168" s="313">
        <f>ROUND(G168*H168,2)</f>
        <v>6.66</v>
      </c>
      <c r="J168" s="409"/>
    </row>
    <row r="169" spans="2:10" ht="18.75" customHeight="1">
      <c r="B169" s="859" t="s">
        <v>119</v>
      </c>
      <c r="C169" s="860"/>
      <c r="D169" s="860"/>
      <c r="E169" s="860"/>
      <c r="F169" s="860"/>
      <c r="G169" s="860"/>
      <c r="H169" s="860"/>
      <c r="I169" s="314">
        <f>SUM(I167:I168)</f>
        <v>14.84</v>
      </c>
      <c r="J169" s="409"/>
    </row>
    <row r="170" spans="2:10" ht="18.75" customHeight="1">
      <c r="B170" s="855" t="s">
        <v>216</v>
      </c>
      <c r="C170" s="856"/>
      <c r="D170" s="856"/>
      <c r="E170" s="856"/>
      <c r="F170" s="856"/>
      <c r="G170" s="856"/>
      <c r="H170" s="856"/>
      <c r="I170" s="857"/>
      <c r="J170" s="409"/>
    </row>
    <row r="171" spans="2:10" ht="18.75" customHeight="1">
      <c r="B171" s="414" t="s">
        <v>724</v>
      </c>
      <c r="C171" s="858" t="s">
        <v>726</v>
      </c>
      <c r="D171" s="858"/>
      <c r="E171" s="858"/>
      <c r="F171" s="415" t="s">
        <v>283</v>
      </c>
      <c r="G171" s="312">
        <v>1.1</v>
      </c>
      <c r="H171" s="312">
        <v>27.6</v>
      </c>
      <c r="I171" s="313">
        <f>ROUND(G171*H171,2)</f>
        <v>30.36</v>
      </c>
      <c r="J171" s="409"/>
    </row>
    <row r="172" spans="2:10" ht="18.75" customHeight="1">
      <c r="B172" s="414" t="s">
        <v>711</v>
      </c>
      <c r="C172" s="858" t="s">
        <v>706</v>
      </c>
      <c r="D172" s="858"/>
      <c r="E172" s="858"/>
      <c r="F172" s="415" t="s">
        <v>127</v>
      </c>
      <c r="G172" s="446">
        <v>0.0128</v>
      </c>
      <c r="H172" s="312">
        <v>34.69</v>
      </c>
      <c r="I172" s="313">
        <f>ROUND(G172*H172,2)</f>
        <v>0.44</v>
      </c>
      <c r="J172" s="409"/>
    </row>
    <row r="173" spans="2:10" ht="18.75" customHeight="1">
      <c r="B173" s="414" t="s">
        <v>709</v>
      </c>
      <c r="C173" s="858" t="s">
        <v>707</v>
      </c>
      <c r="D173" s="858"/>
      <c r="E173" s="858"/>
      <c r="F173" s="415" t="s">
        <v>127</v>
      </c>
      <c r="G173" s="446">
        <v>0.0102</v>
      </c>
      <c r="H173" s="312">
        <v>30.12</v>
      </c>
      <c r="I173" s="313">
        <f>ROUND(G173*H173,2)</f>
        <v>0.31</v>
      </c>
      <c r="J173" s="409"/>
    </row>
    <row r="174" spans="2:10" ht="18.75" customHeight="1">
      <c r="B174" s="859" t="s">
        <v>122</v>
      </c>
      <c r="C174" s="860"/>
      <c r="D174" s="860"/>
      <c r="E174" s="860"/>
      <c r="F174" s="860"/>
      <c r="G174" s="860"/>
      <c r="H174" s="860"/>
      <c r="I174" s="314">
        <f>SUM(I171:I173)</f>
        <v>31.11</v>
      </c>
      <c r="J174" s="409"/>
    </row>
    <row r="175" spans="2:10" ht="18.75" customHeight="1">
      <c r="B175" s="861"/>
      <c r="C175" s="862"/>
      <c r="D175" s="862"/>
      <c r="E175" s="862"/>
      <c r="F175" s="862"/>
      <c r="G175" s="862"/>
      <c r="H175" s="862"/>
      <c r="I175" s="863"/>
      <c r="J175" s="409"/>
    </row>
    <row r="176" spans="2:10" ht="18.75" customHeight="1">
      <c r="B176" s="851" t="s">
        <v>123</v>
      </c>
      <c r="C176" s="852"/>
      <c r="D176" s="852"/>
      <c r="E176" s="852"/>
      <c r="F176" s="852"/>
      <c r="G176" s="852"/>
      <c r="H176" s="852"/>
      <c r="I176" s="315">
        <f>I169+I174</f>
        <v>45.95</v>
      </c>
      <c r="J176" s="409"/>
    </row>
    <row r="177" spans="2:10" ht="18.75" customHeight="1">
      <c r="B177" s="851" t="s">
        <v>124</v>
      </c>
      <c r="C177" s="852"/>
      <c r="D177" s="852"/>
      <c r="E177" s="852"/>
      <c r="F177" s="852"/>
      <c r="G177" s="852"/>
      <c r="H177" s="852"/>
      <c r="I177" s="315">
        <f>ROUND(I169*$D$14,2)</f>
        <v>13.28</v>
      </c>
      <c r="J177" s="409"/>
    </row>
    <row r="178" spans="2:10" ht="18.75" customHeight="1">
      <c r="B178" s="853" t="s">
        <v>125</v>
      </c>
      <c r="C178" s="854"/>
      <c r="D178" s="854"/>
      <c r="E178" s="854"/>
      <c r="F178" s="854"/>
      <c r="G178" s="854"/>
      <c r="H178" s="854"/>
      <c r="I178" s="316">
        <f>I176+I177</f>
        <v>59.230000000000004</v>
      </c>
      <c r="J178" s="409"/>
    </row>
    <row r="179" spans="2:10" ht="18.75" customHeight="1">
      <c r="B179" s="317"/>
      <c r="C179" s="303"/>
      <c r="E179" s="319"/>
      <c r="H179" s="303"/>
      <c r="I179" s="303"/>
      <c r="J179" s="409"/>
    </row>
    <row r="180" spans="2:10" ht="18.75" customHeight="1">
      <c r="B180" s="864" t="s">
        <v>725</v>
      </c>
      <c r="C180" s="865"/>
      <c r="D180" s="865"/>
      <c r="E180" s="865"/>
      <c r="F180" s="865"/>
      <c r="G180" s="865"/>
      <c r="H180" s="865"/>
      <c r="I180" s="866"/>
      <c r="J180" s="409"/>
    </row>
    <row r="181" spans="2:10" ht="18.75" customHeight="1">
      <c r="B181" s="412" t="s">
        <v>113</v>
      </c>
      <c r="C181" s="413"/>
      <c r="D181" s="305">
        <f>I199</f>
        <v>85.71</v>
      </c>
      <c r="E181" s="306"/>
      <c r="F181" s="306"/>
      <c r="G181" s="307"/>
      <c r="H181" s="307"/>
      <c r="I181" s="308" t="s">
        <v>704</v>
      </c>
      <c r="J181" s="409"/>
    </row>
    <row r="182" spans="2:10" ht="18.75" customHeight="1">
      <c r="B182" s="867"/>
      <c r="C182" s="868"/>
      <c r="D182" s="868"/>
      <c r="E182" s="868"/>
      <c r="F182" s="868"/>
      <c r="G182" s="868"/>
      <c r="H182" s="868"/>
      <c r="I182" s="869"/>
      <c r="J182" s="409"/>
    </row>
    <row r="183" spans="2:10" ht="18.75" customHeight="1">
      <c r="B183" s="309" t="s">
        <v>41</v>
      </c>
      <c r="C183" s="310" t="s">
        <v>114</v>
      </c>
      <c r="D183" s="310"/>
      <c r="E183" s="310"/>
      <c r="F183" s="310" t="s">
        <v>4</v>
      </c>
      <c r="G183" s="310" t="s">
        <v>115</v>
      </c>
      <c r="H183" s="310" t="s">
        <v>116</v>
      </c>
      <c r="I183" s="311" t="s">
        <v>117</v>
      </c>
      <c r="J183" s="409"/>
    </row>
    <row r="184" spans="2:10" ht="18.75" customHeight="1">
      <c r="B184" s="855" t="s">
        <v>118</v>
      </c>
      <c r="C184" s="856"/>
      <c r="D184" s="856"/>
      <c r="E184" s="856"/>
      <c r="F184" s="856"/>
      <c r="G184" s="856"/>
      <c r="H184" s="856"/>
      <c r="I184" s="857"/>
      <c r="J184" s="409"/>
    </row>
    <row r="185" spans="2:10" ht="18.75" customHeight="1">
      <c r="B185" s="414" t="s">
        <v>735</v>
      </c>
      <c r="C185" s="858" t="s">
        <v>727</v>
      </c>
      <c r="D185" s="858"/>
      <c r="E185" s="858"/>
      <c r="F185" s="415" t="s">
        <v>126</v>
      </c>
      <c r="G185" s="312">
        <v>1.452</v>
      </c>
      <c r="H185" s="312">
        <f>12.91/1.8946</f>
        <v>6.8141032407896125</v>
      </c>
      <c r="I185" s="313">
        <f>ROUND(G185*H185,2)</f>
        <v>9.89</v>
      </c>
      <c r="J185" s="409"/>
    </row>
    <row r="186" spans="2:10" ht="18.75" customHeight="1">
      <c r="B186" s="414" t="s">
        <v>736</v>
      </c>
      <c r="C186" s="858" t="s">
        <v>728</v>
      </c>
      <c r="D186" s="858"/>
      <c r="E186" s="858"/>
      <c r="F186" s="415" t="s">
        <v>126</v>
      </c>
      <c r="G186" s="312">
        <v>1.452</v>
      </c>
      <c r="H186" s="312">
        <f>10.51/1.8946</f>
        <v>5.5473450860339915</v>
      </c>
      <c r="I186" s="313">
        <f>ROUND(G186*H186,2)</f>
        <v>8.05</v>
      </c>
      <c r="J186" s="409"/>
    </row>
    <row r="187" spans="2:10" ht="18.75" customHeight="1">
      <c r="B187" s="414" t="s">
        <v>640</v>
      </c>
      <c r="C187" s="858" t="s">
        <v>637</v>
      </c>
      <c r="D187" s="858"/>
      <c r="E187" s="858"/>
      <c r="F187" s="415" t="s">
        <v>126</v>
      </c>
      <c r="G187" s="312">
        <v>0.33</v>
      </c>
      <c r="H187" s="312">
        <f>12.91/1.8946</f>
        <v>6.8141032407896125</v>
      </c>
      <c r="I187" s="313">
        <f>ROUND(G187*H187,2)</f>
        <v>2.25</v>
      </c>
      <c r="J187" s="409"/>
    </row>
    <row r="188" spans="2:10" ht="18.75" customHeight="1">
      <c r="B188" s="414" t="s">
        <v>128</v>
      </c>
      <c r="C188" s="858" t="s">
        <v>129</v>
      </c>
      <c r="D188" s="858"/>
      <c r="E188" s="858"/>
      <c r="F188" s="415" t="s">
        <v>126</v>
      </c>
      <c r="G188" s="312">
        <v>1.67</v>
      </c>
      <c r="H188" s="312">
        <f>10.05/1.8946</f>
        <v>5.304549773039164</v>
      </c>
      <c r="I188" s="313">
        <f>ROUND(G188*H188,2)</f>
        <v>8.86</v>
      </c>
      <c r="J188" s="409"/>
    </row>
    <row r="189" spans="2:10" ht="18.75" customHeight="1">
      <c r="B189" s="859" t="s">
        <v>119</v>
      </c>
      <c r="C189" s="860"/>
      <c r="D189" s="860"/>
      <c r="E189" s="860"/>
      <c r="F189" s="860"/>
      <c r="G189" s="860"/>
      <c r="H189" s="860"/>
      <c r="I189" s="314">
        <f>SUM(I185:I188)</f>
        <v>29.05</v>
      </c>
      <c r="J189" s="409"/>
    </row>
    <row r="190" spans="2:10" ht="18.75" customHeight="1">
      <c r="B190" s="855" t="s">
        <v>216</v>
      </c>
      <c r="C190" s="856"/>
      <c r="D190" s="856"/>
      <c r="E190" s="856"/>
      <c r="F190" s="856"/>
      <c r="G190" s="856"/>
      <c r="H190" s="856"/>
      <c r="I190" s="857"/>
      <c r="J190" s="409"/>
    </row>
    <row r="191" spans="2:10" ht="18.75" customHeight="1">
      <c r="B191" s="414" t="s">
        <v>740</v>
      </c>
      <c r="C191" s="858" t="s">
        <v>729</v>
      </c>
      <c r="D191" s="858"/>
      <c r="E191" s="858"/>
      <c r="F191" s="415" t="s">
        <v>734</v>
      </c>
      <c r="G191" s="348">
        <v>0.055</v>
      </c>
      <c r="H191" s="312">
        <v>251.35</v>
      </c>
      <c r="I191" s="313">
        <f>ROUND(G191*H191,2)</f>
        <v>13.82</v>
      </c>
      <c r="J191" s="409"/>
    </row>
    <row r="192" spans="2:10" ht="18.75" customHeight="1">
      <c r="B192" s="414" t="s">
        <v>737</v>
      </c>
      <c r="C192" s="858" t="s">
        <v>730</v>
      </c>
      <c r="D192" s="858"/>
      <c r="E192" s="858"/>
      <c r="F192" s="415" t="s">
        <v>283</v>
      </c>
      <c r="G192" s="348">
        <v>2.64</v>
      </c>
      <c r="H192" s="312">
        <v>2.34</v>
      </c>
      <c r="I192" s="313">
        <f>ROUND(G192*H192,2)</f>
        <v>6.18</v>
      </c>
      <c r="J192" s="409"/>
    </row>
    <row r="193" spans="2:10" ht="18.75" customHeight="1">
      <c r="B193" s="414" t="s">
        <v>738</v>
      </c>
      <c r="C193" s="885" t="s">
        <v>731</v>
      </c>
      <c r="D193" s="885"/>
      <c r="E193" s="885"/>
      <c r="F193" s="415" t="s">
        <v>733</v>
      </c>
      <c r="G193" s="348">
        <v>0.66</v>
      </c>
      <c r="H193" s="312">
        <v>13.43</v>
      </c>
      <c r="I193" s="313">
        <f>ROUND(G193*H193,2)</f>
        <v>8.86</v>
      </c>
      <c r="J193" s="409"/>
    </row>
    <row r="194" spans="2:10" ht="18.75" customHeight="1">
      <c r="B194" s="414" t="s">
        <v>739</v>
      </c>
      <c r="C194" s="858" t="s">
        <v>732</v>
      </c>
      <c r="D194" s="858"/>
      <c r="E194" s="858"/>
      <c r="F194" s="415" t="s">
        <v>121</v>
      </c>
      <c r="G194" s="348">
        <v>0.264</v>
      </c>
      <c r="H194" s="312">
        <v>6.87</v>
      </c>
      <c r="I194" s="313">
        <f>ROUND(G194*H194,2)</f>
        <v>1.81</v>
      </c>
      <c r="J194" s="409"/>
    </row>
    <row r="195" spans="2:10" ht="18.75" customHeight="1">
      <c r="B195" s="859" t="s">
        <v>122</v>
      </c>
      <c r="C195" s="860"/>
      <c r="D195" s="860"/>
      <c r="E195" s="860"/>
      <c r="F195" s="860"/>
      <c r="G195" s="860"/>
      <c r="H195" s="860"/>
      <c r="I195" s="314">
        <f>SUM(I191:I194)</f>
        <v>30.669999999999998</v>
      </c>
      <c r="J195" s="409"/>
    </row>
    <row r="196" spans="2:10" ht="18.75" customHeight="1">
      <c r="B196" s="861"/>
      <c r="C196" s="862"/>
      <c r="D196" s="862"/>
      <c r="E196" s="862"/>
      <c r="F196" s="862"/>
      <c r="G196" s="862"/>
      <c r="H196" s="862"/>
      <c r="I196" s="863"/>
      <c r="J196" s="409"/>
    </row>
    <row r="197" spans="2:10" ht="18.75" customHeight="1">
      <c r="B197" s="851" t="s">
        <v>123</v>
      </c>
      <c r="C197" s="852"/>
      <c r="D197" s="852"/>
      <c r="E197" s="852"/>
      <c r="F197" s="852"/>
      <c r="G197" s="852"/>
      <c r="H197" s="852"/>
      <c r="I197" s="315">
        <f>I189+I195</f>
        <v>59.72</v>
      </c>
      <c r="J197" s="409"/>
    </row>
    <row r="198" spans="2:10" ht="18.75" customHeight="1">
      <c r="B198" s="851" t="s">
        <v>124</v>
      </c>
      <c r="C198" s="852"/>
      <c r="D198" s="852"/>
      <c r="E198" s="852"/>
      <c r="F198" s="852"/>
      <c r="G198" s="852"/>
      <c r="H198" s="852"/>
      <c r="I198" s="315">
        <f>ROUND(I189*$D$14,2)</f>
        <v>25.99</v>
      </c>
      <c r="J198" s="409"/>
    </row>
    <row r="199" spans="2:10" ht="18.75" customHeight="1">
      <c r="B199" s="853" t="s">
        <v>125</v>
      </c>
      <c r="C199" s="854"/>
      <c r="D199" s="854"/>
      <c r="E199" s="854"/>
      <c r="F199" s="854"/>
      <c r="G199" s="854"/>
      <c r="H199" s="854"/>
      <c r="I199" s="316">
        <f>I197+I198</f>
        <v>85.71</v>
      </c>
      <c r="J199" s="409"/>
    </row>
    <row r="200" spans="2:10" ht="18.75" customHeight="1">
      <c r="B200" s="317"/>
      <c r="C200" s="303"/>
      <c r="E200" s="319"/>
      <c r="H200" s="303"/>
      <c r="I200" s="303"/>
      <c r="J200" s="409"/>
    </row>
    <row r="201" spans="2:10" ht="18.75" customHeight="1">
      <c r="B201" s="864" t="s">
        <v>725</v>
      </c>
      <c r="C201" s="865"/>
      <c r="D201" s="865"/>
      <c r="E201" s="865"/>
      <c r="F201" s="865"/>
      <c r="G201" s="865"/>
      <c r="H201" s="865"/>
      <c r="I201" s="866"/>
      <c r="J201" s="409"/>
    </row>
    <row r="202" spans="2:10" ht="18.75" customHeight="1">
      <c r="B202" s="412" t="s">
        <v>113</v>
      </c>
      <c r="C202" s="413"/>
      <c r="D202" s="305">
        <f>I218</f>
        <v>196.41000000000003</v>
      </c>
      <c r="E202" s="306"/>
      <c r="F202" s="306"/>
      <c r="G202" s="307"/>
      <c r="H202" s="307"/>
      <c r="I202" s="308" t="s">
        <v>704</v>
      </c>
      <c r="J202" s="409"/>
    </row>
    <row r="203" spans="2:10" ht="18.75" customHeight="1">
      <c r="B203" s="867"/>
      <c r="C203" s="868"/>
      <c r="D203" s="868"/>
      <c r="E203" s="868"/>
      <c r="F203" s="868"/>
      <c r="G203" s="868"/>
      <c r="H203" s="868"/>
      <c r="I203" s="869"/>
      <c r="J203" s="409"/>
    </row>
    <row r="204" spans="2:10" ht="18.75" customHeight="1">
      <c r="B204" s="309" t="s">
        <v>41</v>
      </c>
      <c r="C204" s="310" t="s">
        <v>114</v>
      </c>
      <c r="D204" s="310"/>
      <c r="E204" s="310"/>
      <c r="F204" s="310" t="s">
        <v>4</v>
      </c>
      <c r="G204" s="310" t="s">
        <v>115</v>
      </c>
      <c r="H204" s="310" t="s">
        <v>116</v>
      </c>
      <c r="I204" s="311" t="s">
        <v>117</v>
      </c>
      <c r="J204" s="409"/>
    </row>
    <row r="205" spans="2:10" ht="18.75" customHeight="1">
      <c r="B205" s="855" t="s">
        <v>118</v>
      </c>
      <c r="C205" s="856"/>
      <c r="D205" s="856"/>
      <c r="E205" s="856"/>
      <c r="F205" s="856"/>
      <c r="G205" s="856"/>
      <c r="H205" s="856"/>
      <c r="I205" s="857"/>
      <c r="J205" s="409"/>
    </row>
    <row r="206" spans="2:10" ht="18.75" customHeight="1">
      <c r="B206" s="414" t="s">
        <v>640</v>
      </c>
      <c r="C206" s="858" t="s">
        <v>637</v>
      </c>
      <c r="D206" s="858"/>
      <c r="E206" s="858"/>
      <c r="F206" s="415"/>
      <c r="G206" s="312">
        <v>4.49</v>
      </c>
      <c r="H206" s="312">
        <f>12.91/1.8946</f>
        <v>6.8141032407896125</v>
      </c>
      <c r="I206" s="313">
        <f>ROUND(G206*H206,2)</f>
        <v>30.6</v>
      </c>
      <c r="J206" s="409"/>
    </row>
    <row r="207" spans="2:10" ht="18.75" customHeight="1">
      <c r="B207" s="414" t="s">
        <v>128</v>
      </c>
      <c r="C207" s="858" t="s">
        <v>129</v>
      </c>
      <c r="D207" s="858"/>
      <c r="E207" s="858"/>
      <c r="F207" s="415"/>
      <c r="G207" s="312">
        <v>5.7</v>
      </c>
      <c r="H207" s="312">
        <f>10.05/1.8946</f>
        <v>5.304549773039164</v>
      </c>
      <c r="I207" s="313">
        <f>ROUND(G207*H207,2)</f>
        <v>30.24</v>
      </c>
      <c r="J207" s="409"/>
    </row>
    <row r="208" spans="2:10" ht="18.75" customHeight="1">
      <c r="B208" s="859" t="s">
        <v>119</v>
      </c>
      <c r="C208" s="860"/>
      <c r="D208" s="860"/>
      <c r="E208" s="860"/>
      <c r="F208" s="860"/>
      <c r="G208" s="860"/>
      <c r="H208" s="860"/>
      <c r="I208" s="314">
        <f>SUM(I206:I207)</f>
        <v>60.84</v>
      </c>
      <c r="J208" s="409"/>
    </row>
    <row r="209" spans="2:10" ht="18.75" customHeight="1">
      <c r="B209" s="855" t="s">
        <v>216</v>
      </c>
      <c r="C209" s="856"/>
      <c r="D209" s="856"/>
      <c r="E209" s="856"/>
      <c r="F209" s="856"/>
      <c r="G209" s="856"/>
      <c r="H209" s="856"/>
      <c r="I209" s="857"/>
      <c r="J209" s="409"/>
    </row>
    <row r="210" spans="2:10" ht="18.75" customHeight="1">
      <c r="B210" s="414" t="s">
        <v>745</v>
      </c>
      <c r="C210" s="858" t="s">
        <v>741</v>
      </c>
      <c r="D210" s="858"/>
      <c r="E210" s="858"/>
      <c r="F210" s="415" t="s">
        <v>734</v>
      </c>
      <c r="G210" s="348">
        <v>0.121</v>
      </c>
      <c r="H210" s="312">
        <v>24.5</v>
      </c>
      <c r="I210" s="313">
        <f>ROUND(G210*H210,2)</f>
        <v>2.96</v>
      </c>
      <c r="J210" s="409"/>
    </row>
    <row r="211" spans="2:10" ht="18.75" customHeight="1">
      <c r="B211" s="414" t="s">
        <v>746</v>
      </c>
      <c r="C211" s="858" t="s">
        <v>742</v>
      </c>
      <c r="D211" s="858"/>
      <c r="E211" s="858"/>
      <c r="F211" s="415" t="s">
        <v>121</v>
      </c>
      <c r="G211" s="348">
        <v>13.96</v>
      </c>
      <c r="H211" s="312">
        <v>0.5</v>
      </c>
      <c r="I211" s="313">
        <f>ROUND(G211*H211,2)</f>
        <v>6.98</v>
      </c>
      <c r="J211" s="409"/>
    </row>
    <row r="212" spans="2:10" ht="18.75" customHeight="1">
      <c r="B212" s="414" t="s">
        <v>747</v>
      </c>
      <c r="C212" s="885" t="s">
        <v>743</v>
      </c>
      <c r="D212" s="885"/>
      <c r="E212" s="885"/>
      <c r="F212" s="415" t="s">
        <v>121</v>
      </c>
      <c r="G212" s="348">
        <v>23.94</v>
      </c>
      <c r="H212" s="312">
        <v>0.6</v>
      </c>
      <c r="I212" s="313">
        <f>ROUND(G212*H212,2)</f>
        <v>14.36</v>
      </c>
      <c r="J212" s="409"/>
    </row>
    <row r="213" spans="2:10" ht="18.75" customHeight="1">
      <c r="B213" s="414" t="s">
        <v>748</v>
      </c>
      <c r="C213" s="858" t="s">
        <v>744</v>
      </c>
      <c r="D213" s="858"/>
      <c r="E213" s="858"/>
      <c r="F213" s="415" t="s">
        <v>127</v>
      </c>
      <c r="G213" s="348">
        <v>196</v>
      </c>
      <c r="H213" s="312">
        <v>0.29</v>
      </c>
      <c r="I213" s="313">
        <f>ROUND(G213*H213,2)</f>
        <v>56.84</v>
      </c>
      <c r="J213" s="409"/>
    </row>
    <row r="214" spans="2:10" ht="18.75" customHeight="1">
      <c r="B214" s="859" t="s">
        <v>122</v>
      </c>
      <c r="C214" s="860"/>
      <c r="D214" s="860"/>
      <c r="E214" s="860"/>
      <c r="F214" s="860"/>
      <c r="G214" s="860"/>
      <c r="H214" s="860"/>
      <c r="I214" s="314">
        <f>SUM(I210:I213)</f>
        <v>81.14</v>
      </c>
      <c r="J214" s="409"/>
    </row>
    <row r="215" spans="2:10" ht="18.75" customHeight="1">
      <c r="B215" s="861"/>
      <c r="C215" s="862"/>
      <c r="D215" s="862"/>
      <c r="E215" s="862"/>
      <c r="F215" s="862"/>
      <c r="G215" s="862"/>
      <c r="H215" s="862"/>
      <c r="I215" s="863"/>
      <c r="J215" s="409"/>
    </row>
    <row r="216" spans="2:10" ht="18.75" customHeight="1">
      <c r="B216" s="851" t="s">
        <v>123</v>
      </c>
      <c r="C216" s="852"/>
      <c r="D216" s="852"/>
      <c r="E216" s="852"/>
      <c r="F216" s="852"/>
      <c r="G216" s="852"/>
      <c r="H216" s="852"/>
      <c r="I216" s="315">
        <f>I208+I214</f>
        <v>141.98000000000002</v>
      </c>
      <c r="J216" s="409"/>
    </row>
    <row r="217" spans="2:10" ht="18.75" customHeight="1">
      <c r="B217" s="851" t="s">
        <v>124</v>
      </c>
      <c r="C217" s="852"/>
      <c r="D217" s="852"/>
      <c r="E217" s="852"/>
      <c r="F217" s="852"/>
      <c r="G217" s="852"/>
      <c r="H217" s="852"/>
      <c r="I217" s="315">
        <f>ROUND(I208*$D$14,2)</f>
        <v>54.43</v>
      </c>
      <c r="J217" s="409"/>
    </row>
    <row r="218" spans="2:10" ht="18.75" customHeight="1">
      <c r="B218" s="853" t="s">
        <v>125</v>
      </c>
      <c r="C218" s="854"/>
      <c r="D218" s="854"/>
      <c r="E218" s="854"/>
      <c r="F218" s="854"/>
      <c r="G218" s="854"/>
      <c r="H218" s="854"/>
      <c r="I218" s="316">
        <f>I216+I217</f>
        <v>196.41000000000003</v>
      </c>
      <c r="J218" s="409"/>
    </row>
    <row r="219" spans="2:10" ht="18.75" customHeight="1">
      <c r="B219" s="317"/>
      <c r="C219" s="303"/>
      <c r="E219" s="319"/>
      <c r="H219" s="303"/>
      <c r="I219" s="303"/>
      <c r="J219" s="409"/>
    </row>
    <row r="220" spans="2:10" ht="18.75" customHeight="1">
      <c r="B220" s="864" t="s">
        <v>636</v>
      </c>
      <c r="C220" s="865"/>
      <c r="D220" s="865"/>
      <c r="E220" s="865"/>
      <c r="F220" s="865"/>
      <c r="G220" s="865"/>
      <c r="H220" s="865"/>
      <c r="I220" s="866"/>
      <c r="J220" s="409"/>
    </row>
    <row r="221" spans="2:10" ht="18.75" customHeight="1">
      <c r="B221" s="404" t="s">
        <v>113</v>
      </c>
      <c r="C221" s="405"/>
      <c r="D221" s="305">
        <f>I238</f>
        <v>1170.43</v>
      </c>
      <c r="E221" s="306"/>
      <c r="F221" s="306"/>
      <c r="G221" s="307"/>
      <c r="H221" s="307"/>
      <c r="I221" s="308" t="s">
        <v>649</v>
      </c>
      <c r="J221" s="409"/>
    </row>
    <row r="222" spans="2:10" ht="18.75" customHeight="1">
      <c r="B222" s="867"/>
      <c r="C222" s="868"/>
      <c r="D222" s="868"/>
      <c r="E222" s="868"/>
      <c r="F222" s="868"/>
      <c r="G222" s="868"/>
      <c r="H222" s="868"/>
      <c r="I222" s="869"/>
      <c r="J222" s="409"/>
    </row>
    <row r="223" spans="2:10" ht="18.75" customHeight="1">
      <c r="B223" s="309" t="s">
        <v>41</v>
      </c>
      <c r="C223" s="310" t="s">
        <v>114</v>
      </c>
      <c r="D223" s="310"/>
      <c r="E223" s="310"/>
      <c r="F223" s="310" t="s">
        <v>4</v>
      </c>
      <c r="G223" s="310" t="s">
        <v>115</v>
      </c>
      <c r="H223" s="310" t="s">
        <v>116</v>
      </c>
      <c r="I223" s="311" t="s">
        <v>117</v>
      </c>
      <c r="J223" s="409"/>
    </row>
    <row r="224" spans="2:10" ht="18.75" customHeight="1">
      <c r="B224" s="855" t="s">
        <v>118</v>
      </c>
      <c r="C224" s="856"/>
      <c r="D224" s="856"/>
      <c r="E224" s="856"/>
      <c r="F224" s="856"/>
      <c r="G224" s="856"/>
      <c r="H224" s="856"/>
      <c r="I224" s="857"/>
      <c r="J224" s="409"/>
    </row>
    <row r="225" spans="2:10" ht="18.75" customHeight="1">
      <c r="B225" s="402" t="s">
        <v>640</v>
      </c>
      <c r="C225" s="858" t="s">
        <v>637</v>
      </c>
      <c r="D225" s="858"/>
      <c r="E225" s="858"/>
      <c r="F225" s="403" t="s">
        <v>126</v>
      </c>
      <c r="G225" s="312">
        <v>1.5</v>
      </c>
      <c r="H225" s="312">
        <f>12.91/1.8946</f>
        <v>6.8141032407896125</v>
      </c>
      <c r="I225" s="313">
        <f>ROUND(G225*H225,2)</f>
        <v>10.22</v>
      </c>
      <c r="J225" s="409"/>
    </row>
    <row r="226" spans="2:10" ht="18.75" customHeight="1">
      <c r="B226" s="402" t="s">
        <v>128</v>
      </c>
      <c r="C226" s="858" t="s">
        <v>129</v>
      </c>
      <c r="D226" s="858"/>
      <c r="E226" s="858"/>
      <c r="F226" s="403" t="s">
        <v>126</v>
      </c>
      <c r="G226" s="312">
        <v>1.7</v>
      </c>
      <c r="H226" s="312">
        <f>10.05/1.8946</f>
        <v>5.304549773039164</v>
      </c>
      <c r="I226" s="313">
        <f>ROUND(G226*H226,2)</f>
        <v>9.02</v>
      </c>
      <c r="J226" s="409"/>
    </row>
    <row r="227" spans="2:10" ht="18.75" customHeight="1">
      <c r="B227" s="402" t="s">
        <v>641</v>
      </c>
      <c r="C227" s="858" t="s">
        <v>638</v>
      </c>
      <c r="D227" s="858"/>
      <c r="E227" s="858"/>
      <c r="F227" s="403" t="s">
        <v>126</v>
      </c>
      <c r="G227" s="312">
        <v>6.49</v>
      </c>
      <c r="H227" s="312">
        <f>12.91/1.8946</f>
        <v>6.8141032407896125</v>
      </c>
      <c r="I227" s="313">
        <f>ROUND(G227*H227,2)</f>
        <v>44.22</v>
      </c>
      <c r="J227" s="409"/>
    </row>
    <row r="228" spans="2:10" ht="18.75" customHeight="1">
      <c r="B228" s="402" t="s">
        <v>642</v>
      </c>
      <c r="C228" s="858" t="s">
        <v>639</v>
      </c>
      <c r="D228" s="858"/>
      <c r="E228" s="858"/>
      <c r="F228" s="403" t="s">
        <v>126</v>
      </c>
      <c r="G228" s="312">
        <v>2</v>
      </c>
      <c r="H228" s="312">
        <f>10.51/1.8946</f>
        <v>5.5473450860339915</v>
      </c>
      <c r="I228" s="313">
        <f>ROUND(G228*H228,2)</f>
        <v>11.09</v>
      </c>
      <c r="J228" s="409"/>
    </row>
    <row r="229" spans="2:10" ht="18.75" customHeight="1">
      <c r="B229" s="859" t="s">
        <v>119</v>
      </c>
      <c r="C229" s="860"/>
      <c r="D229" s="860"/>
      <c r="E229" s="860"/>
      <c r="F229" s="860"/>
      <c r="G229" s="860"/>
      <c r="H229" s="860"/>
      <c r="I229" s="314">
        <f>SUM(I225:J228)</f>
        <v>74.55</v>
      </c>
      <c r="J229" s="409"/>
    </row>
    <row r="230" spans="2:10" ht="18.75" customHeight="1">
      <c r="B230" s="855" t="s">
        <v>216</v>
      </c>
      <c r="C230" s="856"/>
      <c r="D230" s="856"/>
      <c r="E230" s="856"/>
      <c r="F230" s="856"/>
      <c r="G230" s="856"/>
      <c r="H230" s="856"/>
      <c r="I230" s="857"/>
      <c r="J230" s="409"/>
    </row>
    <row r="231" spans="2:10" ht="18.75" customHeight="1">
      <c r="B231" s="402" t="s">
        <v>644</v>
      </c>
      <c r="C231" s="858" t="s">
        <v>643</v>
      </c>
      <c r="D231" s="858"/>
      <c r="E231" s="858"/>
      <c r="F231" s="403" t="s">
        <v>127</v>
      </c>
      <c r="G231" s="312">
        <v>1</v>
      </c>
      <c r="H231" s="312">
        <v>982.5</v>
      </c>
      <c r="I231" s="313">
        <f>ROUND(G231*H231,2)</f>
        <v>982.5</v>
      </c>
      <c r="J231" s="409"/>
    </row>
    <row r="232" spans="2:10" ht="26.25" customHeight="1">
      <c r="B232" s="402" t="s">
        <v>647</v>
      </c>
      <c r="C232" s="858" t="s">
        <v>645</v>
      </c>
      <c r="D232" s="858"/>
      <c r="E232" s="858"/>
      <c r="F232" s="403" t="s">
        <v>127</v>
      </c>
      <c r="G232" s="312">
        <v>1</v>
      </c>
      <c r="H232" s="312">
        <v>46.27</v>
      </c>
      <c r="I232" s="313">
        <f>ROUND(G232*H232,2)</f>
        <v>46.27</v>
      </c>
      <c r="J232" s="409"/>
    </row>
    <row r="233" spans="2:10" ht="18.75" customHeight="1">
      <c r="B233" s="402" t="s">
        <v>648</v>
      </c>
      <c r="C233" s="401" t="s">
        <v>646</v>
      </c>
      <c r="D233" s="401"/>
      <c r="E233" s="401"/>
      <c r="F233" s="403" t="s">
        <v>283</v>
      </c>
      <c r="G233" s="312">
        <v>2.82</v>
      </c>
      <c r="H233" s="312">
        <v>0.15</v>
      </c>
      <c r="I233" s="313">
        <f>ROUND(G233*H233,2)</f>
        <v>0.42</v>
      </c>
      <c r="J233" s="409"/>
    </row>
    <row r="234" spans="2:10" ht="18.75" customHeight="1">
      <c r="B234" s="859" t="s">
        <v>122</v>
      </c>
      <c r="C234" s="860"/>
      <c r="D234" s="860"/>
      <c r="E234" s="860"/>
      <c r="F234" s="860"/>
      <c r="G234" s="860"/>
      <c r="H234" s="860"/>
      <c r="I234" s="314">
        <f>SUM(I231:J233)</f>
        <v>1029.19</v>
      </c>
      <c r="J234" s="409"/>
    </row>
    <row r="235" spans="2:10" ht="18.75" customHeight="1">
      <c r="B235" s="861"/>
      <c r="C235" s="862"/>
      <c r="D235" s="862"/>
      <c r="E235" s="862"/>
      <c r="F235" s="862"/>
      <c r="G235" s="862"/>
      <c r="H235" s="862"/>
      <c r="I235" s="863"/>
      <c r="J235" s="409"/>
    </row>
    <row r="236" spans="2:10" ht="18.75" customHeight="1">
      <c r="B236" s="851" t="s">
        <v>123</v>
      </c>
      <c r="C236" s="852"/>
      <c r="D236" s="852"/>
      <c r="E236" s="852"/>
      <c r="F236" s="852"/>
      <c r="G236" s="852"/>
      <c r="H236" s="852"/>
      <c r="I236" s="315">
        <f>I229+I234</f>
        <v>1103.74</v>
      </c>
      <c r="J236" s="409"/>
    </row>
    <row r="237" spans="2:10" ht="18.75" customHeight="1">
      <c r="B237" s="851" t="s">
        <v>124</v>
      </c>
      <c r="C237" s="852"/>
      <c r="D237" s="852"/>
      <c r="E237" s="852"/>
      <c r="F237" s="852"/>
      <c r="G237" s="852"/>
      <c r="H237" s="852"/>
      <c r="I237" s="315">
        <f>ROUND(I229*$D$14,2)</f>
        <v>66.69</v>
      </c>
      <c r="J237" s="409"/>
    </row>
    <row r="238" spans="2:9" ht="18" customHeight="1">
      <c r="B238" s="853" t="s">
        <v>125</v>
      </c>
      <c r="C238" s="854"/>
      <c r="D238" s="854"/>
      <c r="E238" s="854"/>
      <c r="F238" s="854"/>
      <c r="G238" s="854"/>
      <c r="H238" s="854"/>
      <c r="I238" s="316">
        <f>I236+I237</f>
        <v>1170.43</v>
      </c>
    </row>
    <row r="239" spans="2:9" ht="18" customHeight="1">
      <c r="B239" s="317"/>
      <c r="C239" s="303"/>
      <c r="E239" s="319"/>
      <c r="H239" s="303"/>
      <c r="I239" s="303"/>
    </row>
    <row r="240" spans="2:9" ht="18" customHeight="1">
      <c r="B240" s="864" t="s">
        <v>1164</v>
      </c>
      <c r="C240" s="865"/>
      <c r="D240" s="865"/>
      <c r="E240" s="865"/>
      <c r="F240" s="865"/>
      <c r="G240" s="865"/>
      <c r="H240" s="865"/>
      <c r="I240" s="866"/>
    </row>
    <row r="241" spans="2:9" ht="18" customHeight="1">
      <c r="B241" s="444" t="s">
        <v>113</v>
      </c>
      <c r="C241" s="445"/>
      <c r="D241" s="305">
        <f>I257</f>
        <v>36.44</v>
      </c>
      <c r="E241" s="306"/>
      <c r="F241" s="306"/>
      <c r="G241" s="307"/>
      <c r="H241" s="307"/>
      <c r="I241" s="308" t="s">
        <v>649</v>
      </c>
    </row>
    <row r="242" spans="2:9" ht="18" customHeight="1">
      <c r="B242" s="867"/>
      <c r="C242" s="868"/>
      <c r="D242" s="868"/>
      <c r="E242" s="868"/>
      <c r="F242" s="868"/>
      <c r="G242" s="868"/>
      <c r="H242" s="868"/>
      <c r="I242" s="869"/>
    </row>
    <row r="243" spans="2:9" ht="18" customHeight="1">
      <c r="B243" s="309" t="s">
        <v>41</v>
      </c>
      <c r="C243" s="310" t="s">
        <v>114</v>
      </c>
      <c r="D243" s="310"/>
      <c r="E243" s="310"/>
      <c r="F243" s="310" t="s">
        <v>4</v>
      </c>
      <c r="G243" s="310" t="s">
        <v>115</v>
      </c>
      <c r="H243" s="310" t="s">
        <v>116</v>
      </c>
      <c r="I243" s="311" t="s">
        <v>117</v>
      </c>
    </row>
    <row r="244" spans="2:9" ht="18" customHeight="1">
      <c r="B244" s="855" t="s">
        <v>118</v>
      </c>
      <c r="C244" s="856"/>
      <c r="D244" s="856"/>
      <c r="E244" s="856"/>
      <c r="F244" s="856"/>
      <c r="G244" s="856"/>
      <c r="H244" s="856"/>
      <c r="I244" s="857"/>
    </row>
    <row r="245" spans="2:9" ht="18" customHeight="1">
      <c r="B245" s="442" t="s">
        <v>640</v>
      </c>
      <c r="C245" s="858" t="s">
        <v>637</v>
      </c>
      <c r="D245" s="858"/>
      <c r="E245" s="858"/>
      <c r="F245" s="443" t="s">
        <v>126</v>
      </c>
      <c r="G245" s="312">
        <v>0.74</v>
      </c>
      <c r="H245" s="312">
        <f>12.91/1.8946</f>
        <v>6.8141032407896125</v>
      </c>
      <c r="I245" s="313">
        <f>ROUND(G245*H245,2)</f>
        <v>5.04</v>
      </c>
    </row>
    <row r="246" spans="2:9" ht="18" customHeight="1">
      <c r="B246" s="442" t="s">
        <v>128</v>
      </c>
      <c r="C246" s="858" t="s">
        <v>129</v>
      </c>
      <c r="D246" s="858"/>
      <c r="E246" s="858"/>
      <c r="F246" s="443" t="s">
        <v>126</v>
      </c>
      <c r="G246" s="312">
        <v>0.89</v>
      </c>
      <c r="H246" s="312">
        <f>10.05/1.8946</f>
        <v>5.304549773039164</v>
      </c>
      <c r="I246" s="313">
        <f>ROUND(G246*H246,2)</f>
        <v>4.72</v>
      </c>
    </row>
    <row r="247" spans="2:9" ht="18" customHeight="1">
      <c r="B247" s="859" t="s">
        <v>119</v>
      </c>
      <c r="C247" s="860"/>
      <c r="D247" s="860"/>
      <c r="E247" s="860"/>
      <c r="F247" s="860"/>
      <c r="G247" s="860"/>
      <c r="H247" s="860"/>
      <c r="I247" s="314">
        <f>SUM(I245:J246)</f>
        <v>9.76</v>
      </c>
    </row>
    <row r="248" spans="2:9" ht="18" customHeight="1">
      <c r="B248" s="855" t="s">
        <v>216</v>
      </c>
      <c r="C248" s="856"/>
      <c r="D248" s="856"/>
      <c r="E248" s="856"/>
      <c r="F248" s="856"/>
      <c r="G248" s="856"/>
      <c r="H248" s="856"/>
      <c r="I248" s="857"/>
    </row>
    <row r="249" spans="2:9" ht="18" customHeight="1">
      <c r="B249" s="442" t="s">
        <v>745</v>
      </c>
      <c r="C249" s="858" t="s">
        <v>741</v>
      </c>
      <c r="D249" s="858"/>
      <c r="E249" s="858"/>
      <c r="F249" s="443" t="s">
        <v>734</v>
      </c>
      <c r="G249" s="312">
        <v>0.01005</v>
      </c>
      <c r="H249" s="312">
        <v>24.5</v>
      </c>
      <c r="I249" s="313">
        <f>ROUND(G249*H249,2)</f>
        <v>0.25</v>
      </c>
    </row>
    <row r="250" spans="2:9" ht="14.25">
      <c r="B250" s="442" t="s">
        <v>746</v>
      </c>
      <c r="C250" s="858" t="s">
        <v>742</v>
      </c>
      <c r="D250" s="858"/>
      <c r="E250" s="858"/>
      <c r="F250" s="443" t="s">
        <v>121</v>
      </c>
      <c r="G250" s="312">
        <v>4.26972</v>
      </c>
      <c r="H250" s="312">
        <v>0.5</v>
      </c>
      <c r="I250" s="313">
        <f>ROUND(G250*H250,2)</f>
        <v>2.13</v>
      </c>
    </row>
    <row r="251" spans="2:9" ht="18" customHeight="1">
      <c r="B251" s="442" t="s">
        <v>747</v>
      </c>
      <c r="C251" s="885" t="s">
        <v>743</v>
      </c>
      <c r="D251" s="885"/>
      <c r="E251" s="885"/>
      <c r="F251" s="443" t="s">
        <v>121</v>
      </c>
      <c r="G251" s="312">
        <v>1.2558</v>
      </c>
      <c r="H251" s="312">
        <v>0.6</v>
      </c>
      <c r="I251" s="313">
        <f>ROUND(G251*H251,2)</f>
        <v>0.75</v>
      </c>
    </row>
    <row r="252" spans="2:9" ht="18" customHeight="1">
      <c r="B252" s="442" t="s">
        <v>761</v>
      </c>
      <c r="C252" s="441" t="s">
        <v>760</v>
      </c>
      <c r="D252" s="441"/>
      <c r="E252" s="441"/>
      <c r="F252" s="443"/>
      <c r="G252" s="312">
        <v>26</v>
      </c>
      <c r="H252" s="312">
        <v>0.57</v>
      </c>
      <c r="I252" s="313">
        <f>ROUND(G252*H252,2)</f>
        <v>14.82</v>
      </c>
    </row>
    <row r="253" spans="2:9" ht="18" customHeight="1">
      <c r="B253" s="859" t="s">
        <v>122</v>
      </c>
      <c r="C253" s="860"/>
      <c r="D253" s="860"/>
      <c r="E253" s="860"/>
      <c r="F253" s="860"/>
      <c r="G253" s="860"/>
      <c r="H253" s="860"/>
      <c r="I253" s="314">
        <f>SUM(I249:J252)</f>
        <v>17.95</v>
      </c>
    </row>
    <row r="254" spans="2:9" ht="18" customHeight="1">
      <c r="B254" s="861"/>
      <c r="C254" s="862"/>
      <c r="D254" s="862"/>
      <c r="E254" s="862"/>
      <c r="F254" s="862"/>
      <c r="G254" s="862"/>
      <c r="H254" s="862"/>
      <c r="I254" s="863"/>
    </row>
    <row r="255" spans="2:9" ht="18" customHeight="1">
      <c r="B255" s="851" t="s">
        <v>123</v>
      </c>
      <c r="C255" s="852"/>
      <c r="D255" s="852"/>
      <c r="E255" s="852"/>
      <c r="F255" s="852"/>
      <c r="G255" s="852"/>
      <c r="H255" s="852"/>
      <c r="I255" s="315">
        <f>I247+I253</f>
        <v>27.71</v>
      </c>
    </row>
    <row r="256" spans="2:9" ht="18" customHeight="1">
      <c r="B256" s="851" t="s">
        <v>124</v>
      </c>
      <c r="C256" s="852"/>
      <c r="D256" s="852"/>
      <c r="E256" s="852"/>
      <c r="F256" s="852"/>
      <c r="G256" s="852"/>
      <c r="H256" s="852"/>
      <c r="I256" s="315">
        <f>ROUND(I247*$D$14,2)</f>
        <v>8.73</v>
      </c>
    </row>
    <row r="257" spans="2:9" ht="18" customHeight="1">
      <c r="B257" s="853" t="s">
        <v>125</v>
      </c>
      <c r="C257" s="854"/>
      <c r="D257" s="854"/>
      <c r="E257" s="854"/>
      <c r="F257" s="854"/>
      <c r="G257" s="854"/>
      <c r="H257" s="854"/>
      <c r="I257" s="316">
        <f>I255+I256</f>
        <v>36.44</v>
      </c>
    </row>
    <row r="258" spans="2:9" ht="18" customHeight="1">
      <c r="B258" s="756"/>
      <c r="C258" s="756"/>
      <c r="D258" s="756"/>
      <c r="E258" s="756"/>
      <c r="F258" s="756"/>
      <c r="G258" s="756"/>
      <c r="H258" s="756"/>
      <c r="I258" s="757"/>
    </row>
    <row r="259" spans="2:9" ht="18" customHeight="1">
      <c r="B259" s="864" t="s">
        <v>1165</v>
      </c>
      <c r="C259" s="865"/>
      <c r="D259" s="865"/>
      <c r="E259" s="865"/>
      <c r="F259" s="865"/>
      <c r="G259" s="865"/>
      <c r="H259" s="865"/>
      <c r="I259" s="866"/>
    </row>
    <row r="260" spans="2:9" ht="18" customHeight="1">
      <c r="B260" s="725" t="s">
        <v>113</v>
      </c>
      <c r="C260" s="726"/>
      <c r="D260" s="305">
        <f>I273</f>
        <v>174.49000000000004</v>
      </c>
      <c r="E260" s="306"/>
      <c r="F260" s="306"/>
      <c r="G260" s="307"/>
      <c r="H260" s="307"/>
      <c r="I260" s="308" t="s">
        <v>135</v>
      </c>
    </row>
    <row r="261" spans="2:9" ht="18" customHeight="1">
      <c r="B261" s="867"/>
      <c r="C261" s="868"/>
      <c r="D261" s="868"/>
      <c r="E261" s="868"/>
      <c r="F261" s="868"/>
      <c r="G261" s="868"/>
      <c r="H261" s="868"/>
      <c r="I261" s="869"/>
    </row>
    <row r="262" spans="2:9" ht="18" customHeight="1">
      <c r="B262" s="309" t="s">
        <v>41</v>
      </c>
      <c r="C262" s="310" t="s">
        <v>114</v>
      </c>
      <c r="D262" s="310"/>
      <c r="E262" s="310"/>
      <c r="F262" s="310" t="s">
        <v>4</v>
      </c>
      <c r="G262" s="310" t="s">
        <v>115</v>
      </c>
      <c r="H262" s="310" t="s">
        <v>116</v>
      </c>
      <c r="I262" s="311" t="s">
        <v>117</v>
      </c>
    </row>
    <row r="263" spans="2:9" ht="18" customHeight="1">
      <c r="B263" s="855" t="s">
        <v>118</v>
      </c>
      <c r="C263" s="856"/>
      <c r="D263" s="856"/>
      <c r="E263" s="856"/>
      <c r="F263" s="856"/>
      <c r="G263" s="856"/>
      <c r="H263" s="856"/>
      <c r="I263" s="857"/>
    </row>
    <row r="264" spans="2:9" ht="18" customHeight="1">
      <c r="B264" s="723" t="s">
        <v>989</v>
      </c>
      <c r="C264" s="858" t="s">
        <v>988</v>
      </c>
      <c r="D264" s="858"/>
      <c r="E264" s="858"/>
      <c r="F264" s="724" t="s">
        <v>126</v>
      </c>
      <c r="G264" s="312">
        <v>0.18</v>
      </c>
      <c r="H264" s="312">
        <f>12.77/1.8946</f>
        <v>6.740209015095534</v>
      </c>
      <c r="I264" s="313">
        <f>ROUND(G264*H264,2)</f>
        <v>1.21</v>
      </c>
    </row>
    <row r="265" spans="2:9" ht="18" customHeight="1">
      <c r="B265" s="859" t="s">
        <v>119</v>
      </c>
      <c r="C265" s="860"/>
      <c r="D265" s="860"/>
      <c r="E265" s="860"/>
      <c r="F265" s="860"/>
      <c r="G265" s="860"/>
      <c r="H265" s="860"/>
      <c r="I265" s="314">
        <f>SUM(I264:J264)</f>
        <v>1.21</v>
      </c>
    </row>
    <row r="266" spans="2:9" ht="18" customHeight="1">
      <c r="B266" s="855" t="s">
        <v>216</v>
      </c>
      <c r="C266" s="856"/>
      <c r="D266" s="856"/>
      <c r="E266" s="856"/>
      <c r="F266" s="856"/>
      <c r="G266" s="856"/>
      <c r="H266" s="856"/>
      <c r="I266" s="857"/>
    </row>
    <row r="267" spans="2:9" ht="18" customHeight="1">
      <c r="B267" s="723" t="s">
        <v>1166</v>
      </c>
      <c r="C267" s="858" t="s">
        <v>1165</v>
      </c>
      <c r="D267" s="858"/>
      <c r="E267" s="858"/>
      <c r="F267" s="724" t="s">
        <v>733</v>
      </c>
      <c r="G267" s="312">
        <v>1.05</v>
      </c>
      <c r="H267" s="312">
        <v>133.32</v>
      </c>
      <c r="I267" s="313">
        <f>ROUND(G267*H267,2)</f>
        <v>139.99</v>
      </c>
    </row>
    <row r="268" spans="2:9" ht="18" customHeight="1">
      <c r="B268" s="723" t="s">
        <v>1167</v>
      </c>
      <c r="C268" s="858" t="s">
        <v>1168</v>
      </c>
      <c r="D268" s="858"/>
      <c r="E268" s="858"/>
      <c r="F268" s="724" t="s">
        <v>121</v>
      </c>
      <c r="G268" s="312">
        <v>0.9</v>
      </c>
      <c r="H268" s="312">
        <v>35.79</v>
      </c>
      <c r="I268" s="313">
        <f>ROUND(G268*H268,2)</f>
        <v>32.21</v>
      </c>
    </row>
    <row r="269" spans="2:9" ht="18" customHeight="1">
      <c r="B269" s="859" t="s">
        <v>122</v>
      </c>
      <c r="C269" s="860"/>
      <c r="D269" s="860"/>
      <c r="E269" s="860"/>
      <c r="F269" s="860"/>
      <c r="G269" s="860"/>
      <c r="H269" s="860"/>
      <c r="I269" s="314">
        <f>SUM(I267:J268)</f>
        <v>172.20000000000002</v>
      </c>
    </row>
    <row r="270" spans="2:9" ht="18" customHeight="1">
      <c r="B270" s="861"/>
      <c r="C270" s="862"/>
      <c r="D270" s="862"/>
      <c r="E270" s="862"/>
      <c r="F270" s="862"/>
      <c r="G270" s="862"/>
      <c r="H270" s="862"/>
      <c r="I270" s="863"/>
    </row>
    <row r="271" spans="2:9" ht="18" customHeight="1">
      <c r="B271" s="851" t="s">
        <v>123</v>
      </c>
      <c r="C271" s="852"/>
      <c r="D271" s="852"/>
      <c r="E271" s="852"/>
      <c r="F271" s="852"/>
      <c r="G271" s="852"/>
      <c r="H271" s="852"/>
      <c r="I271" s="315">
        <f>I265+I269</f>
        <v>173.41000000000003</v>
      </c>
    </row>
    <row r="272" spans="2:9" ht="18" customHeight="1">
      <c r="B272" s="851" t="s">
        <v>124</v>
      </c>
      <c r="C272" s="852"/>
      <c r="D272" s="852"/>
      <c r="E272" s="852"/>
      <c r="F272" s="852"/>
      <c r="G272" s="852"/>
      <c r="H272" s="852"/>
      <c r="I272" s="315">
        <f>ROUND(I265*$D$14,2)</f>
        <v>1.08</v>
      </c>
    </row>
    <row r="273" spans="2:9" ht="18" customHeight="1">
      <c r="B273" s="853" t="s">
        <v>125</v>
      </c>
      <c r="C273" s="854"/>
      <c r="D273" s="854"/>
      <c r="E273" s="854"/>
      <c r="F273" s="854"/>
      <c r="G273" s="854"/>
      <c r="H273" s="854"/>
      <c r="I273" s="316">
        <f>I271+I272</f>
        <v>174.49000000000004</v>
      </c>
    </row>
    <row r="274" spans="2:9" ht="18" customHeight="1">
      <c r="B274" s="317"/>
      <c r="C274" s="303"/>
      <c r="E274" s="319"/>
      <c r="H274" s="303"/>
      <c r="I274" s="303"/>
    </row>
    <row r="275" spans="2:9" ht="18" customHeight="1">
      <c r="B275" s="864" t="s">
        <v>225</v>
      </c>
      <c r="C275" s="865"/>
      <c r="D275" s="865"/>
      <c r="E275" s="865"/>
      <c r="F275" s="865"/>
      <c r="G275" s="865"/>
      <c r="H275" s="865"/>
      <c r="I275" s="866"/>
    </row>
    <row r="276" spans="2:9" ht="18" customHeight="1">
      <c r="B276" s="404" t="s">
        <v>113</v>
      </c>
      <c r="C276" s="405"/>
      <c r="D276" s="305">
        <f>I291</f>
        <v>56.06</v>
      </c>
      <c r="E276" s="306"/>
      <c r="F276" s="306"/>
      <c r="G276" s="307"/>
      <c r="H276" s="307"/>
      <c r="I276" s="308" t="s">
        <v>135</v>
      </c>
    </row>
    <row r="277" spans="2:9" ht="18" customHeight="1">
      <c r="B277" s="867"/>
      <c r="C277" s="868"/>
      <c r="D277" s="868"/>
      <c r="E277" s="868"/>
      <c r="F277" s="868"/>
      <c r="G277" s="868"/>
      <c r="H277" s="868"/>
      <c r="I277" s="869"/>
    </row>
    <row r="278" spans="2:9" ht="18" customHeight="1">
      <c r="B278" s="309" t="s">
        <v>41</v>
      </c>
      <c r="C278" s="310" t="s">
        <v>114</v>
      </c>
      <c r="D278" s="310"/>
      <c r="E278" s="310"/>
      <c r="F278" s="310" t="s">
        <v>4</v>
      </c>
      <c r="G278" s="310" t="s">
        <v>115</v>
      </c>
      <c r="H278" s="310" t="s">
        <v>116</v>
      </c>
      <c r="I278" s="311" t="s">
        <v>117</v>
      </c>
    </row>
    <row r="279" spans="2:9" ht="18" customHeight="1">
      <c r="B279" s="855" t="s">
        <v>118</v>
      </c>
      <c r="C279" s="856"/>
      <c r="D279" s="856"/>
      <c r="E279" s="856"/>
      <c r="F279" s="856"/>
      <c r="G279" s="856"/>
      <c r="H279" s="856"/>
      <c r="I279" s="857"/>
    </row>
    <row r="280" spans="2:9" ht="18" customHeight="1">
      <c r="B280" s="346" t="s">
        <v>214</v>
      </c>
      <c r="C280" s="858" t="s">
        <v>215</v>
      </c>
      <c r="D280" s="858"/>
      <c r="E280" s="858"/>
      <c r="F280" s="347" t="s">
        <v>126</v>
      </c>
      <c r="G280" s="312">
        <v>1.4</v>
      </c>
      <c r="H280" s="312">
        <f>12.04/1.8946</f>
        <v>6.354903409690699</v>
      </c>
      <c r="I280" s="313">
        <f>ROUND(G280*H280,2)</f>
        <v>8.9</v>
      </c>
    </row>
    <row r="281" spans="2:9" ht="18" customHeight="1">
      <c r="B281" s="346" t="s">
        <v>128</v>
      </c>
      <c r="C281" s="858" t="s">
        <v>129</v>
      </c>
      <c r="D281" s="858"/>
      <c r="E281" s="858"/>
      <c r="F281" s="347" t="s">
        <v>126</v>
      </c>
      <c r="G281" s="312">
        <v>1.4</v>
      </c>
      <c r="H281" s="312">
        <f>10.05/1.8946</f>
        <v>5.304549773039164</v>
      </c>
      <c r="I281" s="313">
        <f>ROUND(G281*H281,2)</f>
        <v>7.43</v>
      </c>
    </row>
    <row r="282" spans="2:9" ht="18" customHeight="1">
      <c r="B282" s="859" t="s">
        <v>119</v>
      </c>
      <c r="C282" s="860"/>
      <c r="D282" s="860"/>
      <c r="E282" s="860"/>
      <c r="F282" s="860"/>
      <c r="G282" s="860"/>
      <c r="H282" s="860"/>
      <c r="I282" s="314">
        <f>SUM(I280:I281)</f>
        <v>16.33</v>
      </c>
    </row>
    <row r="283" spans="2:9" ht="18" customHeight="1">
      <c r="B283" s="855" t="s">
        <v>216</v>
      </c>
      <c r="C283" s="856"/>
      <c r="D283" s="856"/>
      <c r="E283" s="856"/>
      <c r="F283" s="856"/>
      <c r="G283" s="856"/>
      <c r="H283" s="856"/>
      <c r="I283" s="857"/>
    </row>
    <row r="284" spans="2:9" ht="18" customHeight="1">
      <c r="B284" s="346" t="s">
        <v>217</v>
      </c>
      <c r="C284" s="858" t="s">
        <v>224</v>
      </c>
      <c r="D284" s="858"/>
      <c r="E284" s="858"/>
      <c r="F284" s="347" t="s">
        <v>127</v>
      </c>
      <c r="G284" s="312">
        <v>1.1</v>
      </c>
      <c r="H284" s="312">
        <v>17.05</v>
      </c>
      <c r="I284" s="313">
        <f>ROUND(G284*H284,2)</f>
        <v>18.76</v>
      </c>
    </row>
    <row r="285" spans="2:9" ht="18" customHeight="1">
      <c r="B285" s="346" t="s">
        <v>218</v>
      </c>
      <c r="C285" s="858" t="s">
        <v>219</v>
      </c>
      <c r="D285" s="858"/>
      <c r="E285" s="858"/>
      <c r="F285" s="347" t="s">
        <v>121</v>
      </c>
      <c r="G285" s="312">
        <v>0.12</v>
      </c>
      <c r="H285" s="312">
        <v>39.01</v>
      </c>
      <c r="I285" s="313">
        <f>ROUND(G285*H285,2)</f>
        <v>4.68</v>
      </c>
    </row>
    <row r="286" spans="2:9" ht="18" customHeight="1">
      <c r="B286" s="346" t="s">
        <v>130</v>
      </c>
      <c r="C286" s="858" t="s">
        <v>220</v>
      </c>
      <c r="D286" s="858"/>
      <c r="E286" s="858"/>
      <c r="F286" s="347" t="s">
        <v>121</v>
      </c>
      <c r="G286" s="312">
        <v>4</v>
      </c>
      <c r="H286" s="312">
        <f>I306</f>
        <v>0.42</v>
      </c>
      <c r="I286" s="313">
        <f>ROUND(G286*H286,2)</f>
        <v>1.68</v>
      </c>
    </row>
    <row r="287" spans="2:9" ht="18" customHeight="1">
      <c r="B287" s="859" t="s">
        <v>122</v>
      </c>
      <c r="C287" s="860"/>
      <c r="D287" s="860"/>
      <c r="E287" s="860"/>
      <c r="F287" s="860"/>
      <c r="G287" s="860"/>
      <c r="H287" s="860"/>
      <c r="I287" s="314">
        <f>SUM(I284:I286)</f>
        <v>25.12</v>
      </c>
    </row>
    <row r="288" spans="2:9" ht="18" customHeight="1">
      <c r="B288" s="861"/>
      <c r="C288" s="862"/>
      <c r="D288" s="862"/>
      <c r="E288" s="862"/>
      <c r="F288" s="862"/>
      <c r="G288" s="862"/>
      <c r="H288" s="862"/>
      <c r="I288" s="863"/>
    </row>
    <row r="289" spans="2:9" ht="18" customHeight="1">
      <c r="B289" s="851" t="s">
        <v>123</v>
      </c>
      <c r="C289" s="852"/>
      <c r="D289" s="852"/>
      <c r="E289" s="852"/>
      <c r="F289" s="852"/>
      <c r="G289" s="852"/>
      <c r="H289" s="852"/>
      <c r="I289" s="315">
        <f>I282+I287</f>
        <v>41.45</v>
      </c>
    </row>
    <row r="290" spans="2:9" ht="18" customHeight="1">
      <c r="B290" s="851" t="s">
        <v>124</v>
      </c>
      <c r="C290" s="852"/>
      <c r="D290" s="852"/>
      <c r="E290" s="852"/>
      <c r="F290" s="852"/>
      <c r="G290" s="852"/>
      <c r="H290" s="852"/>
      <c r="I290" s="315">
        <f>ROUND(I282*$D$14,2)</f>
        <v>14.61</v>
      </c>
    </row>
    <row r="291" spans="2:9" ht="18" customHeight="1">
      <c r="B291" s="853" t="s">
        <v>125</v>
      </c>
      <c r="C291" s="854"/>
      <c r="D291" s="854"/>
      <c r="E291" s="854"/>
      <c r="F291" s="854"/>
      <c r="G291" s="854"/>
      <c r="H291" s="854"/>
      <c r="I291" s="316">
        <f>I289+I290</f>
        <v>56.06</v>
      </c>
    </row>
    <row r="292" spans="2:9" ht="18" customHeight="1">
      <c r="B292" s="317"/>
      <c r="C292" s="303"/>
      <c r="E292" s="319"/>
      <c r="H292" s="303"/>
      <c r="I292" s="303"/>
    </row>
    <row r="293" spans="2:9" ht="18" customHeight="1">
      <c r="B293" s="864" t="s">
        <v>220</v>
      </c>
      <c r="C293" s="865"/>
      <c r="D293" s="865"/>
      <c r="E293" s="865"/>
      <c r="F293" s="865"/>
      <c r="G293" s="865"/>
      <c r="H293" s="865"/>
      <c r="I293" s="866"/>
    </row>
    <row r="294" spans="2:9" ht="18" customHeight="1">
      <c r="B294" s="895" t="s">
        <v>113</v>
      </c>
      <c r="C294" s="896"/>
      <c r="D294" s="305">
        <f>I306</f>
        <v>0.42</v>
      </c>
      <c r="E294" s="306"/>
      <c r="F294" s="306"/>
      <c r="G294" s="307"/>
      <c r="H294" s="307"/>
      <c r="I294" s="308" t="s">
        <v>221</v>
      </c>
    </row>
    <row r="295" spans="2:9" ht="18" customHeight="1">
      <c r="B295" s="867"/>
      <c r="C295" s="868"/>
      <c r="D295" s="868"/>
      <c r="E295" s="868"/>
      <c r="F295" s="868"/>
      <c r="G295" s="868"/>
      <c r="H295" s="868"/>
      <c r="I295" s="869"/>
    </row>
    <row r="296" spans="2:9" ht="18" customHeight="1">
      <c r="B296" s="309" t="s">
        <v>41</v>
      </c>
      <c r="C296" s="310" t="s">
        <v>114</v>
      </c>
      <c r="D296" s="310"/>
      <c r="E296" s="310"/>
      <c r="F296" s="310" t="s">
        <v>4</v>
      </c>
      <c r="G296" s="310" t="s">
        <v>115</v>
      </c>
      <c r="H296" s="310" t="s">
        <v>116</v>
      </c>
      <c r="I296" s="311" t="s">
        <v>117</v>
      </c>
    </row>
    <row r="297" spans="2:9" ht="18" customHeight="1">
      <c r="B297" s="855" t="s">
        <v>118</v>
      </c>
      <c r="C297" s="856"/>
      <c r="D297" s="856"/>
      <c r="E297" s="856"/>
      <c r="F297" s="856"/>
      <c r="G297" s="856"/>
      <c r="H297" s="856"/>
      <c r="I297" s="857"/>
    </row>
    <row r="298" spans="2:9" ht="18" customHeight="1">
      <c r="B298" s="346" t="s">
        <v>128</v>
      </c>
      <c r="C298" s="858" t="s">
        <v>129</v>
      </c>
      <c r="D298" s="858"/>
      <c r="E298" s="858"/>
      <c r="F298" s="347" t="s">
        <v>126</v>
      </c>
      <c r="G298" s="348">
        <v>0.007</v>
      </c>
      <c r="H298" s="312">
        <f>10.05/1.8946</f>
        <v>5.304549773039164</v>
      </c>
      <c r="I298" s="313">
        <f>ROUND(G298*H298,2)</f>
        <v>0.04</v>
      </c>
    </row>
    <row r="299" spans="2:9" ht="18" customHeight="1">
      <c r="B299" s="859" t="s">
        <v>119</v>
      </c>
      <c r="C299" s="860"/>
      <c r="D299" s="860"/>
      <c r="E299" s="860"/>
      <c r="F299" s="860"/>
      <c r="G299" s="860"/>
      <c r="H299" s="860"/>
      <c r="I299" s="314">
        <f>SUM(I298:I298)</f>
        <v>0.04</v>
      </c>
    </row>
    <row r="300" spans="2:9" ht="18" customHeight="1">
      <c r="B300" s="855" t="s">
        <v>120</v>
      </c>
      <c r="C300" s="856"/>
      <c r="D300" s="856"/>
      <c r="E300" s="856"/>
      <c r="F300" s="856"/>
      <c r="G300" s="856"/>
      <c r="H300" s="856"/>
      <c r="I300" s="857"/>
    </row>
    <row r="301" spans="2:9" ht="18" customHeight="1">
      <c r="B301" s="346" t="s">
        <v>222</v>
      </c>
      <c r="C301" s="858" t="s">
        <v>223</v>
      </c>
      <c r="D301" s="858"/>
      <c r="E301" s="858"/>
      <c r="F301" s="347" t="s">
        <v>121</v>
      </c>
      <c r="G301" s="312">
        <v>0.84</v>
      </c>
      <c r="H301" s="312">
        <v>0.4</v>
      </c>
      <c r="I301" s="313">
        <f>ROUND(G301*H301,2)</f>
        <v>0.34</v>
      </c>
    </row>
    <row r="302" spans="2:9" ht="18" customHeight="1">
      <c r="B302" s="859" t="s">
        <v>122</v>
      </c>
      <c r="C302" s="860"/>
      <c r="D302" s="860"/>
      <c r="E302" s="860"/>
      <c r="F302" s="860"/>
      <c r="G302" s="860"/>
      <c r="H302" s="860"/>
      <c r="I302" s="314">
        <f>SUM(I301:I301)</f>
        <v>0.34</v>
      </c>
    </row>
    <row r="303" spans="2:9" ht="18" customHeight="1">
      <c r="B303" s="861"/>
      <c r="C303" s="862"/>
      <c r="D303" s="862"/>
      <c r="E303" s="862"/>
      <c r="F303" s="862"/>
      <c r="G303" s="862"/>
      <c r="H303" s="862"/>
      <c r="I303" s="863"/>
    </row>
    <row r="304" spans="2:9" ht="18" customHeight="1">
      <c r="B304" s="851" t="s">
        <v>123</v>
      </c>
      <c r="C304" s="852"/>
      <c r="D304" s="852"/>
      <c r="E304" s="852"/>
      <c r="F304" s="852"/>
      <c r="G304" s="852"/>
      <c r="H304" s="852"/>
      <c r="I304" s="315">
        <f>I299+I302</f>
        <v>0.38</v>
      </c>
    </row>
    <row r="305" spans="2:9" ht="18" customHeight="1">
      <c r="B305" s="851" t="s">
        <v>124</v>
      </c>
      <c r="C305" s="852"/>
      <c r="D305" s="852"/>
      <c r="E305" s="852"/>
      <c r="F305" s="852"/>
      <c r="G305" s="852"/>
      <c r="H305" s="852"/>
      <c r="I305" s="315">
        <f>ROUND(I299*$D$14,2)</f>
        <v>0.04</v>
      </c>
    </row>
    <row r="306" spans="2:9" ht="18" customHeight="1">
      <c r="B306" s="853" t="s">
        <v>125</v>
      </c>
      <c r="C306" s="854"/>
      <c r="D306" s="854"/>
      <c r="E306" s="854"/>
      <c r="F306" s="854"/>
      <c r="G306" s="854"/>
      <c r="H306" s="854"/>
      <c r="I306" s="316">
        <f>I304+I305</f>
        <v>0.42</v>
      </c>
    </row>
    <row r="307" spans="2:9" ht="18" customHeight="1">
      <c r="B307" s="317"/>
      <c r="C307" s="303"/>
      <c r="E307" s="319"/>
      <c r="H307" s="303"/>
      <c r="I307" s="303"/>
    </row>
    <row r="308" spans="2:9" ht="18" customHeight="1">
      <c r="B308" s="317"/>
      <c r="C308" s="303"/>
      <c r="E308" s="319"/>
      <c r="H308" s="303"/>
      <c r="I308" s="303"/>
    </row>
    <row r="309" spans="2:9" ht="18" customHeight="1">
      <c r="B309" s="912" t="str">
        <f>Orçamento!B348</f>
        <v>Teresina (PI), 23 de Abril de 2015</v>
      </c>
      <c r="C309" s="912"/>
      <c r="E309" s="319"/>
      <c r="H309" s="303"/>
      <c r="I309" s="303"/>
    </row>
    <row r="310" spans="2:5" ht="18" customHeight="1">
      <c r="B310" s="317"/>
      <c r="C310" s="303"/>
      <c r="E310" s="319"/>
    </row>
    <row r="311" spans="2:5" ht="18" customHeight="1">
      <c r="B311" s="317"/>
      <c r="C311" s="303"/>
      <c r="E311" s="319"/>
    </row>
    <row r="312" spans="2:5" ht="18" customHeight="1">
      <c r="B312" s="317"/>
      <c r="C312" s="303"/>
      <c r="E312" s="319"/>
    </row>
    <row r="313" spans="2:5" ht="18" customHeight="1">
      <c r="B313" s="317"/>
      <c r="C313" s="303"/>
      <c r="E313" s="319"/>
    </row>
    <row r="314" spans="2:5" ht="18" customHeight="1">
      <c r="B314" s="317"/>
      <c r="C314" s="303"/>
      <c r="E314" s="319"/>
    </row>
    <row r="315" spans="2:5" ht="18" customHeight="1">
      <c r="B315" s="317"/>
      <c r="C315" s="303"/>
      <c r="E315" s="319"/>
    </row>
    <row r="316" spans="2:5" ht="18" customHeight="1">
      <c r="B316" s="317"/>
      <c r="C316" s="303"/>
      <c r="E316" s="319"/>
    </row>
    <row r="317" spans="2:5" ht="18" customHeight="1">
      <c r="B317" s="317"/>
      <c r="C317" s="303"/>
      <c r="E317" s="319"/>
    </row>
    <row r="318" spans="2:5" ht="18" customHeight="1">
      <c r="B318" s="317"/>
      <c r="C318" s="303"/>
      <c r="E318" s="319"/>
    </row>
    <row r="319" spans="2:5" ht="18" customHeight="1">
      <c r="B319" s="317"/>
      <c r="C319" s="303"/>
      <c r="E319" s="319"/>
    </row>
    <row r="320" spans="2:5" ht="18" customHeight="1">
      <c r="B320" s="317"/>
      <c r="C320" s="303"/>
      <c r="E320" s="319"/>
    </row>
    <row r="321" spans="2:5" ht="18" customHeight="1">
      <c r="B321" s="317"/>
      <c r="C321" s="303"/>
      <c r="E321" s="319"/>
    </row>
    <row r="322" spans="2:5" ht="18" customHeight="1">
      <c r="B322" s="317"/>
      <c r="C322" s="303"/>
      <c r="E322" s="319"/>
    </row>
    <row r="323" spans="2:5" ht="18" customHeight="1">
      <c r="B323" s="317"/>
      <c r="C323" s="303"/>
      <c r="E323" s="319"/>
    </row>
    <row r="324" spans="2:5" ht="18" customHeight="1">
      <c r="B324" s="317"/>
      <c r="C324" s="303"/>
      <c r="E324" s="319"/>
    </row>
    <row r="325" spans="2:5" ht="18" customHeight="1">
      <c r="B325" s="317"/>
      <c r="C325" s="303"/>
      <c r="E325" s="319"/>
    </row>
    <row r="326" spans="2:5" ht="18" customHeight="1">
      <c r="B326" s="317"/>
      <c r="C326" s="303"/>
      <c r="E326" s="319"/>
    </row>
    <row r="327" spans="2:5" ht="18" customHeight="1">
      <c r="B327" s="317"/>
      <c r="C327" s="303"/>
      <c r="E327" s="319"/>
    </row>
    <row r="328" spans="2:5" ht="18" customHeight="1">
      <c r="B328" s="317"/>
      <c r="C328" s="303"/>
      <c r="E328" s="319"/>
    </row>
    <row r="329" spans="2:5" ht="18" customHeight="1">
      <c r="B329" s="317"/>
      <c r="C329" s="303"/>
      <c r="E329" s="319"/>
    </row>
    <row r="330" spans="2:5" ht="18" customHeight="1">
      <c r="B330" s="317"/>
      <c r="C330" s="303"/>
      <c r="E330" s="319"/>
    </row>
    <row r="331" spans="2:5" ht="18" customHeight="1">
      <c r="B331" s="317"/>
      <c r="C331" s="303"/>
      <c r="E331" s="319"/>
    </row>
    <row r="332" spans="2:5" ht="18" customHeight="1">
      <c r="B332" s="317"/>
      <c r="C332" s="303"/>
      <c r="E332" s="319"/>
    </row>
    <row r="333" spans="2:5" ht="18" customHeight="1">
      <c r="B333" s="317"/>
      <c r="C333" s="303"/>
      <c r="E333" s="319"/>
    </row>
  </sheetData>
  <sheetProtection/>
  <mergeCells count="285">
    <mergeCell ref="B28:H28"/>
    <mergeCell ref="B30:H30"/>
    <mergeCell ref="B23:I23"/>
    <mergeCell ref="C25:E25"/>
    <mergeCell ref="B26:H26"/>
    <mergeCell ref="B15:I15"/>
    <mergeCell ref="B17:I17"/>
    <mergeCell ref="B19:G19"/>
    <mergeCell ref="H19:I19"/>
    <mergeCell ref="C20:E20"/>
    <mergeCell ref="B29:H29"/>
    <mergeCell ref="C24:E24"/>
    <mergeCell ref="B22:H22"/>
    <mergeCell ref="B256:H256"/>
    <mergeCell ref="B257:H257"/>
    <mergeCell ref="C251:E251"/>
    <mergeCell ref="C249:E249"/>
    <mergeCell ref="C250:E250"/>
    <mergeCell ref="B253:H253"/>
    <mergeCell ref="B254:G254"/>
    <mergeCell ref="H254:I254"/>
    <mergeCell ref="B255:H255"/>
    <mergeCell ref="C245:E245"/>
    <mergeCell ref="C246:E246"/>
    <mergeCell ref="B247:H247"/>
    <mergeCell ref="B248:G248"/>
    <mergeCell ref="H248:I248"/>
    <mergeCell ref="B220:I220"/>
    <mergeCell ref="C228:E228"/>
    <mergeCell ref="C227:E227"/>
    <mergeCell ref="C232:E232"/>
    <mergeCell ref="B230:G230"/>
    <mergeCell ref="B309:C309"/>
    <mergeCell ref="B240:I240"/>
    <mergeCell ref="B242:I242"/>
    <mergeCell ref="B244:G244"/>
    <mergeCell ref="H244:I244"/>
    <mergeCell ref="B222:I222"/>
    <mergeCell ref="B224:G224"/>
    <mergeCell ref="H224:I224"/>
    <mergeCell ref="C225:E225"/>
    <mergeCell ref="C226:E226"/>
    <mergeCell ref="B235:G235"/>
    <mergeCell ref="H235:I235"/>
    <mergeCell ref="B287:H287"/>
    <mergeCell ref="C281:E281"/>
    <mergeCell ref="H230:I230"/>
    <mergeCell ref="C231:E231"/>
    <mergeCell ref="B234:H234"/>
    <mergeCell ref="B275:I275"/>
    <mergeCell ref="B277:I277"/>
    <mergeCell ref="B236:H236"/>
    <mergeCell ref="B237:H237"/>
    <mergeCell ref="B238:H238"/>
    <mergeCell ref="B14:C14"/>
    <mergeCell ref="D14:E14"/>
    <mergeCell ref="F14:G14"/>
    <mergeCell ref="B229:H229"/>
    <mergeCell ref="H14:I14"/>
    <mergeCell ref="B98:G98"/>
    <mergeCell ref="H98:I98"/>
    <mergeCell ref="C99:E99"/>
    <mergeCell ref="B90:I90"/>
    <mergeCell ref="B92:I92"/>
    <mergeCell ref="B299:H299"/>
    <mergeCell ref="B300:G300"/>
    <mergeCell ref="H300:I300"/>
    <mergeCell ref="B295:I295"/>
    <mergeCell ref="B297:G297"/>
    <mergeCell ref="H297:I297"/>
    <mergeCell ref="B2:C7"/>
    <mergeCell ref="D2:J3"/>
    <mergeCell ref="D4:J5"/>
    <mergeCell ref="D6:J7"/>
    <mergeCell ref="B9:E9"/>
    <mergeCell ref="F9:J9"/>
    <mergeCell ref="B10:E10"/>
    <mergeCell ref="F10:I10"/>
    <mergeCell ref="B12:I12"/>
    <mergeCell ref="B306:H306"/>
    <mergeCell ref="B293:I293"/>
    <mergeCell ref="B290:H290"/>
    <mergeCell ref="B288:G288"/>
    <mergeCell ref="H288:I288"/>
    <mergeCell ref="B289:H289"/>
    <mergeCell ref="B294:C294"/>
    <mergeCell ref="B291:H291"/>
    <mergeCell ref="C298:E298"/>
    <mergeCell ref="B305:H305"/>
    <mergeCell ref="C285:E285"/>
    <mergeCell ref="C284:E284"/>
    <mergeCell ref="C280:E280"/>
    <mergeCell ref="C286:E286"/>
    <mergeCell ref="C301:E301"/>
    <mergeCell ref="B302:H302"/>
    <mergeCell ref="B303:G303"/>
    <mergeCell ref="H303:I303"/>
    <mergeCell ref="B283:G283"/>
    <mergeCell ref="B164:I164"/>
    <mergeCell ref="B166:G166"/>
    <mergeCell ref="H166:I166"/>
    <mergeCell ref="C167:E167"/>
    <mergeCell ref="C168:E168"/>
    <mergeCell ref="C173:E173"/>
    <mergeCell ref="C186:E186"/>
    <mergeCell ref="B174:H174"/>
    <mergeCell ref="B304:H304"/>
    <mergeCell ref="H283:I283"/>
    <mergeCell ref="B282:H282"/>
    <mergeCell ref="B279:G279"/>
    <mergeCell ref="H279:I279"/>
    <mergeCell ref="C100:E100"/>
    <mergeCell ref="C101:E101"/>
    <mergeCell ref="B102:H102"/>
    <mergeCell ref="B105:H105"/>
    <mergeCell ref="B106:H106"/>
    <mergeCell ref="B94:G94"/>
    <mergeCell ref="H94:I94"/>
    <mergeCell ref="C95:E95"/>
    <mergeCell ref="B97:H97"/>
    <mergeCell ref="C96:E96"/>
    <mergeCell ref="B108:I108"/>
    <mergeCell ref="B110:I110"/>
    <mergeCell ref="B112:G112"/>
    <mergeCell ref="H112:I112"/>
    <mergeCell ref="C113:E113"/>
    <mergeCell ref="B103:G103"/>
    <mergeCell ref="H103:I103"/>
    <mergeCell ref="B104:H104"/>
    <mergeCell ref="C114:E114"/>
    <mergeCell ref="B115:H115"/>
    <mergeCell ref="B116:G116"/>
    <mergeCell ref="H116:I116"/>
    <mergeCell ref="C117:E117"/>
    <mergeCell ref="C118:E118"/>
    <mergeCell ref="C119:E119"/>
    <mergeCell ref="B120:H120"/>
    <mergeCell ref="B121:G121"/>
    <mergeCell ref="H121:I121"/>
    <mergeCell ref="B122:H122"/>
    <mergeCell ref="B123:H123"/>
    <mergeCell ref="B124:H124"/>
    <mergeCell ref="B126:I126"/>
    <mergeCell ref="B128:I128"/>
    <mergeCell ref="B130:G130"/>
    <mergeCell ref="H130:I130"/>
    <mergeCell ref="C131:E131"/>
    <mergeCell ref="C132:E132"/>
    <mergeCell ref="B133:H133"/>
    <mergeCell ref="B134:G134"/>
    <mergeCell ref="H134:I134"/>
    <mergeCell ref="C135:E135"/>
    <mergeCell ref="C136:E136"/>
    <mergeCell ref="C137:E137"/>
    <mergeCell ref="B138:H138"/>
    <mergeCell ref="B139:G139"/>
    <mergeCell ref="H139:I139"/>
    <mergeCell ref="B140:H140"/>
    <mergeCell ref="B141:H141"/>
    <mergeCell ref="B142:H142"/>
    <mergeCell ref="B144:I144"/>
    <mergeCell ref="B146:I146"/>
    <mergeCell ref="B148:G148"/>
    <mergeCell ref="H148:I148"/>
    <mergeCell ref="C149:E149"/>
    <mergeCell ref="C150:E150"/>
    <mergeCell ref="B151:H151"/>
    <mergeCell ref="B152:G152"/>
    <mergeCell ref="H152:I152"/>
    <mergeCell ref="C153:E153"/>
    <mergeCell ref="C154:E154"/>
    <mergeCell ref="C155:E155"/>
    <mergeCell ref="B156:H156"/>
    <mergeCell ref="B157:G157"/>
    <mergeCell ref="H157:I157"/>
    <mergeCell ref="B158:H158"/>
    <mergeCell ref="B159:H159"/>
    <mergeCell ref="B160:H160"/>
    <mergeCell ref="B169:H169"/>
    <mergeCell ref="B170:G170"/>
    <mergeCell ref="H170:I170"/>
    <mergeCell ref="C171:E171"/>
    <mergeCell ref="C172:E172"/>
    <mergeCell ref="B162:I162"/>
    <mergeCell ref="B175:G175"/>
    <mergeCell ref="H175:I175"/>
    <mergeCell ref="B176:H176"/>
    <mergeCell ref="B177:H177"/>
    <mergeCell ref="B178:H178"/>
    <mergeCell ref="B189:H189"/>
    <mergeCell ref="C188:E188"/>
    <mergeCell ref="B180:I180"/>
    <mergeCell ref="B182:I182"/>
    <mergeCell ref="B184:G184"/>
    <mergeCell ref="H184:I184"/>
    <mergeCell ref="C185:E185"/>
    <mergeCell ref="C187:E187"/>
    <mergeCell ref="H196:I196"/>
    <mergeCell ref="B197:H197"/>
    <mergeCell ref="B198:H198"/>
    <mergeCell ref="B190:G190"/>
    <mergeCell ref="H190:I190"/>
    <mergeCell ref="C191:E191"/>
    <mergeCell ref="C192:E192"/>
    <mergeCell ref="C194:E194"/>
    <mergeCell ref="C193:E193"/>
    <mergeCell ref="B201:I201"/>
    <mergeCell ref="B203:I203"/>
    <mergeCell ref="B195:H195"/>
    <mergeCell ref="B196:G196"/>
    <mergeCell ref="B199:H199"/>
    <mergeCell ref="B208:H208"/>
    <mergeCell ref="B209:G209"/>
    <mergeCell ref="H209:I209"/>
    <mergeCell ref="C210:E210"/>
    <mergeCell ref="C211:E211"/>
    <mergeCell ref="B205:G205"/>
    <mergeCell ref="H205:I205"/>
    <mergeCell ref="C206:E206"/>
    <mergeCell ref="C207:E207"/>
    <mergeCell ref="C72:E72"/>
    <mergeCell ref="C73:E73"/>
    <mergeCell ref="C212:E212"/>
    <mergeCell ref="B218:H218"/>
    <mergeCell ref="C213:E213"/>
    <mergeCell ref="B214:H214"/>
    <mergeCell ref="B215:G215"/>
    <mergeCell ref="H215:I215"/>
    <mergeCell ref="B216:H216"/>
    <mergeCell ref="B217:H217"/>
    <mergeCell ref="B88:H88"/>
    <mergeCell ref="B75:H75"/>
    <mergeCell ref="B76:G76"/>
    <mergeCell ref="H76:I76"/>
    <mergeCell ref="C77:E77"/>
    <mergeCell ref="C79:E79"/>
    <mergeCell ref="C80:E80"/>
    <mergeCell ref="C81:E81"/>
    <mergeCell ref="C82:E82"/>
    <mergeCell ref="B43:I43"/>
    <mergeCell ref="B84:H84"/>
    <mergeCell ref="B85:G85"/>
    <mergeCell ref="H85:I85"/>
    <mergeCell ref="B86:H86"/>
    <mergeCell ref="B87:H87"/>
    <mergeCell ref="B67:I67"/>
    <mergeCell ref="B69:I69"/>
    <mergeCell ref="B71:G71"/>
    <mergeCell ref="H71:I71"/>
    <mergeCell ref="B52:I52"/>
    <mergeCell ref="C53:E53"/>
    <mergeCell ref="C54:E54"/>
    <mergeCell ref="C56:E56"/>
    <mergeCell ref="C57:E57"/>
    <mergeCell ref="B32:I32"/>
    <mergeCell ref="B34:I34"/>
    <mergeCell ref="B36:I36"/>
    <mergeCell ref="C37:E37"/>
    <mergeCell ref="B42:H42"/>
    <mergeCell ref="B65:H65"/>
    <mergeCell ref="C41:E41"/>
    <mergeCell ref="C55:E55"/>
    <mergeCell ref="C58:E58"/>
    <mergeCell ref="C59:E59"/>
    <mergeCell ref="C60:E60"/>
    <mergeCell ref="B61:H61"/>
    <mergeCell ref="B63:H63"/>
    <mergeCell ref="B64:H64"/>
    <mergeCell ref="B51:H51"/>
    <mergeCell ref="B259:I259"/>
    <mergeCell ref="B261:I261"/>
    <mergeCell ref="B263:G263"/>
    <mergeCell ref="H263:I263"/>
    <mergeCell ref="C264:E264"/>
    <mergeCell ref="B265:H265"/>
    <mergeCell ref="B271:H271"/>
    <mergeCell ref="B272:H272"/>
    <mergeCell ref="B273:H273"/>
    <mergeCell ref="B266:G266"/>
    <mergeCell ref="H266:I266"/>
    <mergeCell ref="C267:E267"/>
    <mergeCell ref="C268:E268"/>
    <mergeCell ref="B269:H269"/>
    <mergeCell ref="B270:G270"/>
    <mergeCell ref="H270:I270"/>
  </mergeCells>
  <printOptions gridLines="1" horizontalCentered="1"/>
  <pageMargins left="0.4330708661417323" right="0" top="0.7086614173228347" bottom="0.68" header="0" footer="0.3937007874015748"/>
  <pageSetup horizontalDpi="1200" verticalDpi="1200" orientation="portrait" paperSize="9" scale="57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21"/>
  <sheetViews>
    <sheetView view="pageBreakPreview" zoomScale="106" zoomScaleNormal="89" zoomScaleSheetLayoutView="106" zoomScalePageLayoutView="0" workbookViewId="0" topLeftCell="A1">
      <selection activeCell="D17" sqref="D17:G17"/>
    </sheetView>
  </sheetViews>
  <sheetFormatPr defaultColWidth="9.140625" defaultRowHeight="15"/>
  <cols>
    <col min="2" max="2" width="39.00390625" style="0" customWidth="1"/>
    <col min="3" max="3" width="18.140625" style="0" customWidth="1"/>
    <col min="5" max="5" width="19.00390625" style="0" customWidth="1"/>
    <col min="7" max="7" width="16.57421875" style="0" customWidth="1"/>
  </cols>
  <sheetData>
    <row r="3" spans="2:12" ht="15" customHeight="1">
      <c r="B3" s="30"/>
      <c r="C3" s="31"/>
      <c r="D3" s="930" t="s">
        <v>47</v>
      </c>
      <c r="E3" s="839"/>
      <c r="F3" s="839"/>
      <c r="G3" s="840"/>
      <c r="H3" s="166"/>
      <c r="I3" s="166"/>
      <c r="J3" s="166"/>
      <c r="K3" s="166"/>
      <c r="L3" s="166"/>
    </row>
    <row r="4" spans="2:12" ht="15" customHeight="1">
      <c r="B4" s="32"/>
      <c r="C4" s="33"/>
      <c r="D4" s="931"/>
      <c r="E4" s="932"/>
      <c r="F4" s="932"/>
      <c r="G4" s="933"/>
      <c r="H4" s="166"/>
      <c r="I4" s="166"/>
      <c r="J4" s="166"/>
      <c r="K4" s="166"/>
      <c r="L4" s="166"/>
    </row>
    <row r="5" spans="2:12" ht="15" customHeight="1">
      <c r="B5" s="32"/>
      <c r="C5" s="33"/>
      <c r="D5" s="934" t="s">
        <v>48</v>
      </c>
      <c r="E5" s="935"/>
      <c r="F5" s="935"/>
      <c r="G5" s="936"/>
      <c r="H5" s="932"/>
      <c r="I5" s="932"/>
      <c r="J5" s="932"/>
      <c r="K5" s="932"/>
      <c r="L5" s="932"/>
    </row>
    <row r="6" spans="2:12" ht="15" customHeight="1">
      <c r="B6" s="32"/>
      <c r="C6" s="33"/>
      <c r="D6" s="937"/>
      <c r="E6" s="938"/>
      <c r="F6" s="938"/>
      <c r="G6" s="939"/>
      <c r="H6" s="932"/>
      <c r="I6" s="932"/>
      <c r="J6" s="932"/>
      <c r="K6" s="932"/>
      <c r="L6" s="932"/>
    </row>
    <row r="7" spans="2:12" ht="15" customHeight="1">
      <c r="B7" s="32"/>
      <c r="C7" s="33"/>
      <c r="D7" s="940" t="s">
        <v>35</v>
      </c>
      <c r="E7" s="941"/>
      <c r="F7" s="941"/>
      <c r="G7" s="942"/>
      <c r="H7" s="932"/>
      <c r="I7" s="932"/>
      <c r="J7" s="932"/>
      <c r="K7" s="932"/>
      <c r="L7" s="932"/>
    </row>
    <row r="8" spans="2:12" ht="15" customHeight="1">
      <c r="B8" s="34"/>
      <c r="C8" s="35"/>
      <c r="D8" s="943"/>
      <c r="E8" s="944"/>
      <c r="F8" s="944"/>
      <c r="G8" s="945"/>
      <c r="H8" s="932"/>
      <c r="I8" s="932"/>
      <c r="J8" s="932"/>
      <c r="K8" s="932"/>
      <c r="L8" s="932"/>
    </row>
    <row r="9" spans="2:12" ht="4.5" customHeight="1">
      <c r="B9" s="11"/>
      <c r="C9" s="12"/>
      <c r="D9" s="12"/>
      <c r="E9" s="12"/>
      <c r="F9" s="11"/>
      <c r="G9" s="17"/>
      <c r="H9" s="23"/>
      <c r="I9" s="17"/>
      <c r="J9" s="17"/>
      <c r="K9" s="15"/>
      <c r="L9" s="13"/>
    </row>
    <row r="10" spans="2:12" ht="18" customHeight="1">
      <c r="B10" s="917" t="s">
        <v>109</v>
      </c>
      <c r="C10" s="918"/>
      <c r="D10" s="919" t="s">
        <v>1137</v>
      </c>
      <c r="E10" s="920"/>
      <c r="F10" s="920"/>
      <c r="G10" s="920"/>
      <c r="H10" s="167"/>
      <c r="I10" s="167"/>
      <c r="J10" s="167"/>
      <c r="K10" s="167"/>
      <c r="L10" s="167"/>
    </row>
    <row r="11" spans="2:12" ht="18" customHeight="1">
      <c r="B11" s="917" t="s">
        <v>89</v>
      </c>
      <c r="C11" s="918"/>
      <c r="D11" s="921" t="s">
        <v>594</v>
      </c>
      <c r="E11" s="921"/>
      <c r="F11" s="921"/>
      <c r="G11" s="921"/>
      <c r="H11" s="168"/>
      <c r="I11" s="168"/>
      <c r="J11" s="168"/>
      <c r="K11" s="168"/>
      <c r="L11" s="168"/>
    </row>
    <row r="12" spans="2:12" ht="4.5" customHeight="1" thickBot="1">
      <c r="B12" s="769"/>
      <c r="C12" s="770"/>
      <c r="D12" s="182"/>
      <c r="E12" s="182"/>
      <c r="F12" s="181"/>
      <c r="G12" s="169"/>
      <c r="H12" s="24"/>
      <c r="I12" s="169"/>
      <c r="J12" s="169"/>
      <c r="K12" s="170"/>
      <c r="L12" s="171"/>
    </row>
    <row r="13" spans="2:12" ht="18.75" thickBot="1">
      <c r="B13" s="922" t="s">
        <v>67</v>
      </c>
      <c r="C13" s="923"/>
      <c r="D13" s="923"/>
      <c r="E13" s="923"/>
      <c r="F13" s="923"/>
      <c r="G13" s="924"/>
      <c r="H13" s="172"/>
      <c r="I13" s="172"/>
      <c r="J13" s="172"/>
      <c r="K13" s="172"/>
      <c r="L13" s="172"/>
    </row>
    <row r="14" spans="2:12" ht="4.5" customHeight="1" thickBot="1">
      <c r="B14" s="3"/>
      <c r="C14" s="1"/>
      <c r="D14" s="1"/>
      <c r="E14" s="1"/>
      <c r="F14" s="2"/>
      <c r="G14" s="18"/>
      <c r="H14" s="25"/>
      <c r="I14" s="18"/>
      <c r="J14" s="18"/>
      <c r="K14" s="16"/>
      <c r="L14" s="14"/>
    </row>
    <row r="15" spans="1:24" ht="16.5" customHeight="1" thickBot="1">
      <c r="A15" s="156"/>
      <c r="B15" s="925" t="s">
        <v>68</v>
      </c>
      <c r="C15" s="926"/>
      <c r="D15" s="927" t="s">
        <v>60</v>
      </c>
      <c r="E15" s="928"/>
      <c r="F15" s="928"/>
      <c r="G15" s="929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24" ht="16.5" thickBot="1">
      <c r="A16" s="156"/>
      <c r="B16" s="946" t="s">
        <v>69</v>
      </c>
      <c r="C16" s="947"/>
      <c r="D16" s="914">
        <v>7.3</v>
      </c>
      <c r="E16" s="915"/>
      <c r="F16" s="915"/>
      <c r="G16" s="916"/>
      <c r="H16" s="157">
        <f aca="true" t="shared" si="0" ref="H16:H23">D16/100</f>
        <v>0.073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ht="16.5" thickBot="1">
      <c r="A17" s="156"/>
      <c r="B17" s="946" t="s">
        <v>70</v>
      </c>
      <c r="C17" s="947"/>
      <c r="D17" s="914">
        <v>3</v>
      </c>
      <c r="E17" s="915"/>
      <c r="F17" s="915"/>
      <c r="G17" s="916"/>
      <c r="H17" s="157">
        <f t="shared" si="0"/>
        <v>0.03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24" ht="16.5" thickBot="1">
      <c r="A18" s="156"/>
      <c r="B18" s="946" t="s">
        <v>71</v>
      </c>
      <c r="C18" s="947"/>
      <c r="D18" s="914">
        <v>1.23</v>
      </c>
      <c r="E18" s="915"/>
      <c r="F18" s="915"/>
      <c r="G18" s="916"/>
      <c r="H18" s="157">
        <f t="shared" si="0"/>
        <v>0.0123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ht="16.5" thickBot="1">
      <c r="A19" s="156"/>
      <c r="B19" s="946" t="s">
        <v>59</v>
      </c>
      <c r="C19" s="947"/>
      <c r="D19" s="914">
        <v>3</v>
      </c>
      <c r="E19" s="915"/>
      <c r="F19" s="915"/>
      <c r="G19" s="916"/>
      <c r="H19" s="157">
        <f t="shared" si="0"/>
        <v>0.03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24" ht="16.5" thickBot="1">
      <c r="A20" s="156"/>
      <c r="B20" s="946" t="s">
        <v>58</v>
      </c>
      <c r="C20" s="947"/>
      <c r="D20" s="914">
        <v>0.65</v>
      </c>
      <c r="E20" s="915"/>
      <c r="F20" s="915"/>
      <c r="G20" s="916"/>
      <c r="H20" s="157">
        <f t="shared" si="0"/>
        <v>0.006500000000000001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ht="16.5" thickBot="1">
      <c r="A21" s="156"/>
      <c r="B21" s="946" t="s">
        <v>72</v>
      </c>
      <c r="C21" s="947"/>
      <c r="D21" s="914">
        <v>2</v>
      </c>
      <c r="E21" s="915"/>
      <c r="F21" s="915"/>
      <c r="G21" s="916"/>
      <c r="H21" s="157">
        <f t="shared" si="0"/>
        <v>0.02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ht="16.5" thickBot="1">
      <c r="A22" s="156"/>
      <c r="B22" s="946" t="s">
        <v>73</v>
      </c>
      <c r="C22" s="947"/>
      <c r="D22" s="914">
        <v>3</v>
      </c>
      <c r="E22" s="915"/>
      <c r="F22" s="915"/>
      <c r="G22" s="916"/>
      <c r="H22" s="157">
        <f t="shared" si="0"/>
        <v>0.03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4" ht="16.5" thickBot="1">
      <c r="A23" s="156"/>
      <c r="B23" s="946" t="s">
        <v>74</v>
      </c>
      <c r="C23" s="947"/>
      <c r="D23" s="914">
        <f>0.8+1.27</f>
        <v>2.0700000000000003</v>
      </c>
      <c r="E23" s="915"/>
      <c r="F23" s="915"/>
      <c r="G23" s="916"/>
      <c r="H23" s="157">
        <f t="shared" si="0"/>
        <v>0.020700000000000003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24" ht="15.75">
      <c r="A24" s="156"/>
      <c r="B24" s="158"/>
      <c r="C24" s="159"/>
      <c r="D24" s="173"/>
      <c r="E24" s="66"/>
      <c r="F24" s="66"/>
      <c r="G24" s="66"/>
      <c r="H24" s="160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24" ht="15.75">
      <c r="A25" s="156"/>
      <c r="B25" s="158"/>
      <c r="C25" s="913"/>
      <c r="D25" s="913"/>
      <c r="E25" s="913"/>
      <c r="F25" s="66"/>
      <c r="G25" s="66"/>
      <c r="H25" s="160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ht="15.75">
      <c r="A26" s="156"/>
      <c r="B26" s="158"/>
      <c r="C26" s="159"/>
      <c r="D26" s="173"/>
      <c r="E26" s="66"/>
      <c r="F26" s="66"/>
      <c r="G26" s="66"/>
      <c r="H26" s="160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ht="15.75">
      <c r="A27" s="156"/>
      <c r="B27" s="158"/>
      <c r="C27" s="159"/>
      <c r="D27" s="173"/>
      <c r="E27" s="66"/>
      <c r="F27" s="66"/>
      <c r="G27" s="66"/>
      <c r="H27" s="160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ht="15">
      <c r="A28" s="156"/>
      <c r="B28" s="161"/>
      <c r="C28" s="162"/>
      <c r="D28" s="173"/>
      <c r="E28" s="66"/>
      <c r="F28" s="66"/>
      <c r="G28" s="66"/>
      <c r="H28" s="160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ht="15">
      <c r="A29" s="156"/>
      <c r="B29" s="161"/>
      <c r="C29" s="162"/>
      <c r="D29" s="173"/>
      <c r="E29" s="66"/>
      <c r="F29" s="66"/>
      <c r="G29" s="66"/>
      <c r="H29" s="160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</row>
    <row r="30" spans="1:24" ht="18.75">
      <c r="A30" s="156"/>
      <c r="B30" s="161"/>
      <c r="C30" s="162"/>
      <c r="D30" s="173"/>
      <c r="E30" s="66"/>
      <c r="F30" s="66"/>
      <c r="G30" s="66"/>
      <c r="H30" s="163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</row>
    <row r="31" spans="1:24" ht="18.75">
      <c r="A31" s="156"/>
      <c r="B31" s="164"/>
      <c r="C31" s="165"/>
      <c r="D31" s="66"/>
      <c r="E31" s="66"/>
      <c r="F31" s="66"/>
      <c r="G31" s="66"/>
      <c r="H31" s="163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</row>
    <row r="32" spans="1:24" ht="18.75">
      <c r="A32" s="156"/>
      <c r="B32" s="164"/>
      <c r="C32" s="165"/>
      <c r="D32" s="66"/>
      <c r="E32" s="66"/>
      <c r="F32" s="66"/>
      <c r="G32" s="66"/>
      <c r="H32" s="163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</row>
    <row r="33" spans="1:24" ht="18.75">
      <c r="A33" s="156"/>
      <c r="B33" s="164"/>
      <c r="C33" s="165"/>
      <c r="D33" s="66"/>
      <c r="E33" s="66"/>
      <c r="F33" s="66"/>
      <c r="G33" s="66"/>
      <c r="H33" s="163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</row>
    <row r="34" spans="1:24" ht="18.75">
      <c r="A34" s="156"/>
      <c r="B34" s="164"/>
      <c r="C34" s="165"/>
      <c r="D34" s="66"/>
      <c r="E34" s="66"/>
      <c r="F34" s="66"/>
      <c r="G34" s="66"/>
      <c r="H34" s="163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</row>
    <row r="35" spans="1:24" ht="18.75">
      <c r="A35" s="156"/>
      <c r="B35" s="164"/>
      <c r="C35" s="165"/>
      <c r="D35" s="66"/>
      <c r="E35" s="66"/>
      <c r="F35" s="66"/>
      <c r="G35" s="66"/>
      <c r="H35" s="163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</row>
    <row r="36" spans="1:24" ht="18.75">
      <c r="A36" s="156"/>
      <c r="B36" s="164"/>
      <c r="C36" s="165"/>
      <c r="D36" s="66"/>
      <c r="E36" s="66"/>
      <c r="F36" s="66"/>
      <c r="G36" s="66"/>
      <c r="H36" s="16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</row>
    <row r="37" spans="1:24" ht="18.75">
      <c r="A37" s="156"/>
      <c r="B37" s="164"/>
      <c r="C37" s="165"/>
      <c r="D37" s="66"/>
      <c r="E37" s="66"/>
      <c r="F37" s="66"/>
      <c r="G37" s="66"/>
      <c r="H37" s="163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</row>
    <row r="38" spans="1:24" ht="18.75">
      <c r="A38" s="156"/>
      <c r="B38" s="164"/>
      <c r="C38" s="165"/>
      <c r="D38" s="66"/>
      <c r="E38" s="66"/>
      <c r="F38" s="66"/>
      <c r="G38" s="66"/>
      <c r="H38" s="163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</row>
    <row r="39" spans="1:24" ht="18.75">
      <c r="A39" s="156"/>
      <c r="B39" s="164"/>
      <c r="C39" s="165"/>
      <c r="D39" s="66"/>
      <c r="E39" s="66"/>
      <c r="F39" s="66"/>
      <c r="G39" s="66"/>
      <c r="H39" s="163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</row>
    <row r="40" spans="1:24" ht="18.75">
      <c r="A40" s="156"/>
      <c r="B40" s="175" t="s">
        <v>75</v>
      </c>
      <c r="C40" s="174">
        <f>(D17+D23)</f>
        <v>5.07</v>
      </c>
      <c r="D40" s="66"/>
      <c r="E40" s="66"/>
      <c r="F40" s="66"/>
      <c r="G40" s="66"/>
      <c r="H40" s="163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</row>
    <row r="41" spans="1:24" ht="18.75">
      <c r="A41" s="156"/>
      <c r="B41" s="175" t="s">
        <v>76</v>
      </c>
      <c r="C41" s="174">
        <f>D18</f>
        <v>1.23</v>
      </c>
      <c r="D41" s="66"/>
      <c r="E41" s="66"/>
      <c r="F41" s="66"/>
      <c r="G41" s="66"/>
      <c r="H41" s="163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</row>
    <row r="42" spans="1:24" ht="18.75">
      <c r="A42" s="156"/>
      <c r="B42" s="175" t="s">
        <v>77</v>
      </c>
      <c r="C42" s="174">
        <f>D16</f>
        <v>7.3</v>
      </c>
      <c r="D42" s="66"/>
      <c r="E42" s="66"/>
      <c r="F42" s="66"/>
      <c r="G42" s="66"/>
      <c r="H42" s="16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  <row r="43" spans="1:24" ht="18.75">
      <c r="A43" s="156"/>
      <c r="B43" s="175" t="s">
        <v>78</v>
      </c>
      <c r="C43" s="174">
        <f>(D19+D20+D21+D22)</f>
        <v>8.65</v>
      </c>
      <c r="D43" s="66"/>
      <c r="E43" s="66"/>
      <c r="F43" s="66"/>
      <c r="G43" s="66"/>
      <c r="H43" s="163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</row>
    <row r="44" spans="1:24" ht="18.75">
      <c r="A44" s="156"/>
      <c r="B44" s="66" t="s">
        <v>79</v>
      </c>
      <c r="C44" s="66"/>
      <c r="D44" s="66"/>
      <c r="E44" s="66"/>
      <c r="F44" s="66"/>
      <c r="G44" s="66"/>
      <c r="H44" s="163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</row>
    <row r="45" spans="1:24" ht="19.5" thickBot="1">
      <c r="A45" s="156"/>
      <c r="B45" s="66"/>
      <c r="C45" s="66"/>
      <c r="D45" s="66"/>
      <c r="E45" s="66"/>
      <c r="F45" s="66"/>
      <c r="G45" s="66"/>
      <c r="H45" s="163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</row>
    <row r="46" spans="1:24" ht="19.5" thickBot="1">
      <c r="A46" s="156"/>
      <c r="B46" s="176"/>
      <c r="C46" s="177" t="s">
        <v>80</v>
      </c>
      <c r="D46" s="178">
        <f>ROUND((((((1+H17+H23)*(1+H18)*(1+H16))/(1-(H19+H20+H21+H22)))-1))*100,2)</f>
        <v>24.93</v>
      </c>
      <c r="E46" s="179"/>
      <c r="F46" s="179"/>
      <c r="G46" s="180"/>
      <c r="H46" s="163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</row>
    <row r="47" spans="1:24" ht="18.75">
      <c r="A47" s="156"/>
      <c r="B47" s="66"/>
      <c r="C47" s="66"/>
      <c r="D47" s="66"/>
      <c r="E47" s="66"/>
      <c r="F47" s="66"/>
      <c r="G47" s="66"/>
      <c r="H47" s="163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</row>
    <row r="48" spans="1:24" ht="15">
      <c r="A48" s="156"/>
      <c r="B48" s="66"/>
      <c r="C48" s="66"/>
      <c r="D48" s="66"/>
      <c r="E48" s="66"/>
      <c r="F48" s="66"/>
      <c r="G48" s="6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</row>
    <row r="49" spans="1:24" ht="18.75">
      <c r="A49" s="156"/>
      <c r="B49" s="66"/>
      <c r="C49" s="66"/>
      <c r="D49" s="66"/>
      <c r="E49" s="66"/>
      <c r="F49" s="66"/>
      <c r="G49" s="66"/>
      <c r="H49" s="163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</row>
    <row r="50" spans="1:24" ht="18.75">
      <c r="A50" s="156"/>
      <c r="B50" s="66"/>
      <c r="C50" s="66"/>
      <c r="D50" s="66"/>
      <c r="E50" s="66"/>
      <c r="F50" s="66"/>
      <c r="G50" s="66"/>
      <c r="H50" s="163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</row>
    <row r="51" spans="1:24" ht="18.75">
      <c r="A51" s="156"/>
      <c r="B51" s="66"/>
      <c r="C51" s="66"/>
      <c r="D51" s="66"/>
      <c r="E51" s="66"/>
      <c r="F51" s="66"/>
      <c r="G51" s="66"/>
      <c r="H51" s="163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</row>
    <row r="52" spans="1:24" ht="18.75">
      <c r="A52" s="156"/>
      <c r="B52" s="66"/>
      <c r="C52" s="66"/>
      <c r="D52" s="66"/>
      <c r="E52" s="66"/>
      <c r="F52" s="66"/>
      <c r="G52" s="66"/>
      <c r="H52" s="163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</row>
    <row r="53" spans="1:24" ht="18.75">
      <c r="A53" s="156"/>
      <c r="B53" s="794" t="str">
        <f>Orçamento!B348</f>
        <v>Teresina (PI), 23 de Abril de 2015</v>
      </c>
      <c r="C53" s="794"/>
      <c r="D53" s="66"/>
      <c r="E53" s="66"/>
      <c r="F53" s="66"/>
      <c r="G53" s="66"/>
      <c r="H53" s="163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</row>
    <row r="54" spans="1:24" ht="18.75">
      <c r="A54" s="156"/>
      <c r="B54" s="66"/>
      <c r="C54" s="66"/>
      <c r="D54" s="66"/>
      <c r="E54" s="66"/>
      <c r="F54" s="66"/>
      <c r="G54" s="66"/>
      <c r="H54" s="163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</row>
    <row r="55" spans="1:24" ht="18.75">
      <c r="A55" s="156"/>
      <c r="B55" s="66"/>
      <c r="C55" s="66"/>
      <c r="D55" s="66"/>
      <c r="E55" s="66"/>
      <c r="F55" s="66"/>
      <c r="G55" s="66"/>
      <c r="H55" s="163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</row>
    <row r="56" spans="1:24" ht="18.75">
      <c r="A56" s="156"/>
      <c r="B56" s="66"/>
      <c r="C56" s="66"/>
      <c r="D56" s="66"/>
      <c r="E56" s="66"/>
      <c r="F56" s="66"/>
      <c r="G56" s="66"/>
      <c r="H56" s="163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1:24" ht="18.75">
      <c r="A57" s="156"/>
      <c r="B57" s="66"/>
      <c r="C57" s="66"/>
      <c r="D57" s="66"/>
      <c r="E57" s="66"/>
      <c r="F57" s="66"/>
      <c r="G57" s="66"/>
      <c r="H57" s="163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</row>
    <row r="58" spans="1:24" ht="18.75">
      <c r="A58" s="156"/>
      <c r="B58" s="66"/>
      <c r="C58" s="66"/>
      <c r="D58" s="66"/>
      <c r="E58" s="66"/>
      <c r="F58" s="66"/>
      <c r="G58" s="66"/>
      <c r="H58" s="163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</row>
    <row r="59" spans="1:24" ht="18.75">
      <c r="A59" s="156"/>
      <c r="B59" s="66"/>
      <c r="C59" s="66"/>
      <c r="D59" s="66"/>
      <c r="E59" s="66"/>
      <c r="F59" s="66"/>
      <c r="G59" s="66"/>
      <c r="H59" s="163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</row>
    <row r="60" spans="1:24" ht="18.75">
      <c r="A60" s="156"/>
      <c r="B60" s="156"/>
      <c r="C60" s="156"/>
      <c r="D60" s="156"/>
      <c r="E60" s="156"/>
      <c r="F60" s="156"/>
      <c r="G60" s="156"/>
      <c r="H60" s="163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</row>
    <row r="61" spans="1:24" ht="18.75">
      <c r="A61" s="156"/>
      <c r="B61" s="156"/>
      <c r="C61" s="156"/>
      <c r="D61" s="156"/>
      <c r="E61" s="156"/>
      <c r="F61" s="156"/>
      <c r="G61" s="156"/>
      <c r="H61" s="163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</row>
    <row r="62" spans="1:24" ht="18.75">
      <c r="A62" s="156"/>
      <c r="B62" s="156"/>
      <c r="C62" s="156"/>
      <c r="D62" s="156"/>
      <c r="E62" s="156"/>
      <c r="F62" s="156"/>
      <c r="G62" s="156"/>
      <c r="H62" s="163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4" ht="18.75">
      <c r="A63" s="156"/>
      <c r="B63" s="156"/>
      <c r="C63" s="156"/>
      <c r="D63" s="156"/>
      <c r="E63" s="156"/>
      <c r="F63" s="156"/>
      <c r="G63" s="156"/>
      <c r="H63" s="163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</row>
    <row r="64" spans="1:24" ht="18.75">
      <c r="A64" s="156"/>
      <c r="B64" s="156"/>
      <c r="C64" s="156"/>
      <c r="D64" s="156"/>
      <c r="E64" s="156"/>
      <c r="F64" s="156"/>
      <c r="G64" s="156"/>
      <c r="H64" s="163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</row>
    <row r="65" spans="1:24" ht="18.75">
      <c r="A65" s="156"/>
      <c r="B65" s="156"/>
      <c r="C65" s="156"/>
      <c r="D65" s="156"/>
      <c r="E65" s="156"/>
      <c r="F65" s="156"/>
      <c r="G65" s="156"/>
      <c r="H65" s="163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</row>
    <row r="66" spans="1:24" ht="18.75">
      <c r="A66" s="156"/>
      <c r="B66" s="156"/>
      <c r="C66" s="156"/>
      <c r="D66" s="156"/>
      <c r="E66" s="156"/>
      <c r="F66" s="156"/>
      <c r="G66" s="156"/>
      <c r="H66" s="163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</row>
    <row r="67" spans="1:24" ht="18.75">
      <c r="A67" s="156"/>
      <c r="B67" s="156"/>
      <c r="C67" s="156"/>
      <c r="D67" s="156"/>
      <c r="E67" s="156"/>
      <c r="F67" s="156"/>
      <c r="G67" s="156"/>
      <c r="H67" s="163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</row>
    <row r="68" spans="1:24" ht="18.75">
      <c r="A68" s="156"/>
      <c r="B68" s="156"/>
      <c r="C68" s="156"/>
      <c r="D68" s="156"/>
      <c r="E68" s="156"/>
      <c r="F68" s="156"/>
      <c r="G68" s="156"/>
      <c r="H68" s="163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</row>
    <row r="69" spans="1:24" ht="15">
      <c r="A69" s="156"/>
      <c r="B69" s="156"/>
      <c r="C69" s="156"/>
      <c r="D69" s="156"/>
      <c r="E69" s="156"/>
      <c r="F69" s="156"/>
      <c r="G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</row>
    <row r="70" spans="1:24" ht="18.75">
      <c r="A70" s="156"/>
      <c r="B70" s="156"/>
      <c r="C70" s="156"/>
      <c r="D70" s="156"/>
      <c r="E70" s="156"/>
      <c r="F70" s="156"/>
      <c r="G70" s="156"/>
      <c r="H70" s="163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</row>
    <row r="71" spans="1:24" ht="18.75">
      <c r="A71" s="156"/>
      <c r="B71" s="156"/>
      <c r="C71" s="156"/>
      <c r="D71" s="156"/>
      <c r="E71" s="156"/>
      <c r="F71" s="156"/>
      <c r="G71" s="156"/>
      <c r="H71" s="163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</row>
    <row r="72" spans="1:24" ht="18.75">
      <c r="A72" s="156"/>
      <c r="B72" s="156"/>
      <c r="C72" s="156"/>
      <c r="D72" s="156"/>
      <c r="E72" s="156"/>
      <c r="F72" s="156"/>
      <c r="G72" s="156"/>
      <c r="H72" s="163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</row>
    <row r="73" spans="1:24" ht="1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</row>
    <row r="74" spans="1:24" ht="1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1:24" ht="1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</row>
    <row r="76" spans="1:24" ht="1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ht="1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</row>
    <row r="78" spans="1:24" ht="1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</row>
    <row r="79" spans="1:24" ht="1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</row>
    <row r="80" spans="1:24" ht="1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</row>
    <row r="81" spans="1:24" ht="1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</row>
    <row r="82" spans="1:24" ht="1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</row>
    <row r="83" spans="1:24" ht="1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</row>
    <row r="84" spans="1:24" ht="1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</row>
    <row r="85" spans="1:24" ht="1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</row>
    <row r="86" spans="1:24" ht="1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</row>
    <row r="87" spans="1:24" ht="1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</row>
    <row r="88" spans="1:24" ht="1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</row>
    <row r="89" spans="1:24" ht="1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</row>
    <row r="90" spans="1:24" ht="1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</row>
    <row r="91" spans="1:24" ht="1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</row>
    <row r="92" spans="1:24" ht="1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</row>
    <row r="93" spans="1:24" ht="1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1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ht="1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</row>
    <row r="96" spans="1:24" ht="1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24" ht="1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</row>
    <row r="98" spans="1:24" ht="1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</row>
    <row r="99" spans="1:24" ht="1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</row>
    <row r="100" spans="1:24" ht="1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</row>
    <row r="101" spans="1:24" ht="1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</row>
    <row r="102" spans="1:24" ht="1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</row>
    <row r="103" spans="1:24" ht="1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</row>
    <row r="104" spans="1:24" ht="1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</row>
    <row r="105" spans="1:24" ht="1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</row>
    <row r="106" spans="1:24" ht="1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</row>
    <row r="107" spans="1:24" ht="1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</row>
    <row r="108" spans="1:24" ht="1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</row>
    <row r="109" spans="1:24" ht="1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</row>
    <row r="110" spans="1:24" ht="1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</row>
    <row r="111" spans="1:24" ht="1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</row>
    <row r="112" spans="1:24" ht="1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</row>
    <row r="113" spans="1:24" ht="1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</row>
    <row r="114" spans="1:24" ht="1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</row>
    <row r="115" spans="1:24" ht="1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</row>
    <row r="116" spans="1:24" ht="1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</row>
    <row r="117" spans="1:24" ht="1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</row>
    <row r="118" spans="1:24" ht="1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</row>
    <row r="119" spans="1:24" ht="1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</row>
    <row r="120" spans="1:24" ht="1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</row>
    <row r="121" spans="1:24" ht="1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</row>
  </sheetData>
  <sheetProtection/>
  <mergeCells count="33">
    <mergeCell ref="D21:G21"/>
    <mergeCell ref="D22:G22"/>
    <mergeCell ref="D23:G23"/>
    <mergeCell ref="B19:C19"/>
    <mergeCell ref="B20:C20"/>
    <mergeCell ref="B21:C21"/>
    <mergeCell ref="B22:C22"/>
    <mergeCell ref="B23:C23"/>
    <mergeCell ref="D16:G16"/>
    <mergeCell ref="D17:G17"/>
    <mergeCell ref="D18:G18"/>
    <mergeCell ref="D19:G19"/>
    <mergeCell ref="B12:C12"/>
    <mergeCell ref="B16:C16"/>
    <mergeCell ref="B17:C17"/>
    <mergeCell ref="B18:C18"/>
    <mergeCell ref="D3:G4"/>
    <mergeCell ref="D5:G6"/>
    <mergeCell ref="H5:K6"/>
    <mergeCell ref="L5:L6"/>
    <mergeCell ref="D7:G8"/>
    <mergeCell ref="H7:K8"/>
    <mergeCell ref="L7:L8"/>
    <mergeCell ref="C25:E25"/>
    <mergeCell ref="B53:C53"/>
    <mergeCell ref="D20:G20"/>
    <mergeCell ref="B10:C10"/>
    <mergeCell ref="B11:C11"/>
    <mergeCell ref="D10:G10"/>
    <mergeCell ref="D11:G11"/>
    <mergeCell ref="B13:G13"/>
    <mergeCell ref="B15:C15"/>
    <mergeCell ref="D15:G15"/>
  </mergeCells>
  <printOptions/>
  <pageMargins left="0.511811024" right="0.511811024" top="0.787401575" bottom="0.787401575" header="0.31496062" footer="0.3149606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4"/>
  <sheetViews>
    <sheetView view="pageBreakPreview" zoomScale="106" zoomScaleSheetLayoutView="106" zoomScalePageLayoutView="0" workbookViewId="0" topLeftCell="A1">
      <selection activeCell="A12" sqref="A12"/>
    </sheetView>
  </sheetViews>
  <sheetFormatPr defaultColWidth="9.140625" defaultRowHeight="15"/>
  <cols>
    <col min="1" max="1" width="9.140625" style="330" customWidth="1"/>
    <col min="2" max="2" width="12.140625" style="330" customWidth="1"/>
    <col min="3" max="3" width="9.140625" style="330" customWidth="1"/>
    <col min="4" max="4" width="16.7109375" style="330" customWidth="1"/>
    <col min="5" max="5" width="17.28125" style="330" customWidth="1"/>
    <col min="6" max="6" width="9.140625" style="330" customWidth="1"/>
    <col min="7" max="7" width="11.57421875" style="330" customWidth="1"/>
    <col min="8" max="8" width="14.28125" style="330" bestFit="1" customWidth="1"/>
    <col min="9" max="16384" width="9.140625" style="330" customWidth="1"/>
  </cols>
  <sheetData>
    <row r="2" spans="2:8" ht="12" customHeight="1">
      <c r="B2" s="30"/>
      <c r="C2" s="31"/>
      <c r="D2" s="784" t="s">
        <v>213</v>
      </c>
      <c r="E2" s="784"/>
      <c r="F2" s="784"/>
      <c r="G2" s="784"/>
      <c r="H2" s="784"/>
    </row>
    <row r="3" spans="2:8" ht="12" customHeight="1">
      <c r="B3" s="32"/>
      <c r="C3" s="33"/>
      <c r="D3" s="784"/>
      <c r="E3" s="784"/>
      <c r="F3" s="784"/>
      <c r="G3" s="784"/>
      <c r="H3" s="784"/>
    </row>
    <row r="4" spans="2:8" ht="12" customHeight="1">
      <c r="B4" s="32"/>
      <c r="C4" s="33"/>
      <c r="D4" s="802" t="s">
        <v>212</v>
      </c>
      <c r="E4" s="802"/>
      <c r="F4" s="802"/>
      <c r="G4" s="802"/>
      <c r="H4" s="802"/>
    </row>
    <row r="5" spans="2:8" ht="12" customHeight="1">
      <c r="B5" s="32"/>
      <c r="C5" s="33"/>
      <c r="D5" s="802"/>
      <c r="E5" s="802"/>
      <c r="F5" s="802"/>
      <c r="G5" s="802"/>
      <c r="H5" s="802"/>
    </row>
    <row r="6" spans="2:8" ht="12" customHeight="1">
      <c r="B6" s="32"/>
      <c r="C6" s="33"/>
      <c r="D6" s="802" t="s">
        <v>48</v>
      </c>
      <c r="E6" s="802"/>
      <c r="F6" s="802"/>
      <c r="G6" s="802"/>
      <c r="H6" s="802"/>
    </row>
    <row r="7" spans="2:8" ht="12" customHeight="1">
      <c r="B7" s="34"/>
      <c r="C7" s="35"/>
      <c r="D7" s="802"/>
      <c r="E7" s="802"/>
      <c r="F7" s="802"/>
      <c r="G7" s="802"/>
      <c r="H7" s="802"/>
    </row>
    <row r="8" spans="2:7" ht="6.75" customHeight="1">
      <c r="B8" s="11"/>
      <c r="C8" s="12"/>
      <c r="D8" s="12"/>
      <c r="E8" s="12"/>
      <c r="F8" s="11"/>
      <c r="G8" s="17"/>
    </row>
    <row r="9" spans="2:8" ht="18" customHeight="1">
      <c r="B9" s="917" t="s">
        <v>109</v>
      </c>
      <c r="C9" s="985"/>
      <c r="D9" s="985"/>
      <c r="E9" s="918"/>
      <c r="F9" s="979" t="s">
        <v>1137</v>
      </c>
      <c r="G9" s="980"/>
      <c r="H9" s="981"/>
    </row>
    <row r="10" spans="2:8" ht="18" customHeight="1">
      <c r="B10" s="986" t="s">
        <v>89</v>
      </c>
      <c r="C10" s="987"/>
      <c r="D10" s="987"/>
      <c r="E10" s="988"/>
      <c r="F10" s="982" t="s">
        <v>749</v>
      </c>
      <c r="G10" s="983"/>
      <c r="H10" s="984"/>
    </row>
    <row r="11" ht="6" customHeight="1" thickBot="1"/>
    <row r="12" spans="2:8" ht="19.5" customHeight="1" thickBot="1">
      <c r="B12" s="948" t="s">
        <v>143</v>
      </c>
      <c r="C12" s="949"/>
      <c r="D12" s="949"/>
      <c r="E12" s="949"/>
      <c r="F12" s="949"/>
      <c r="G12" s="949"/>
      <c r="H12" s="950"/>
    </row>
    <row r="13" spans="2:8" ht="4.5" customHeight="1">
      <c r="B13" s="345"/>
      <c r="C13" s="345"/>
      <c r="D13" s="345"/>
      <c r="E13" s="345"/>
      <c r="F13" s="345"/>
      <c r="G13" s="345"/>
      <c r="H13" s="345"/>
    </row>
    <row r="14" spans="2:8" ht="15.75" thickBot="1">
      <c r="B14" s="492" t="s">
        <v>144</v>
      </c>
      <c r="C14" s="951" t="s">
        <v>68</v>
      </c>
      <c r="D14" s="951"/>
      <c r="E14" s="951"/>
      <c r="F14" s="951"/>
      <c r="G14" s="493" t="s">
        <v>145</v>
      </c>
      <c r="H14" s="494" t="s">
        <v>146</v>
      </c>
    </row>
    <row r="15" spans="2:8" ht="15">
      <c r="B15" s="952" t="s">
        <v>147</v>
      </c>
      <c r="C15" s="953"/>
      <c r="D15" s="953"/>
      <c r="E15" s="953"/>
      <c r="F15" s="953"/>
      <c r="G15" s="953"/>
      <c r="H15" s="954"/>
    </row>
    <row r="16" spans="2:8" ht="15">
      <c r="B16" s="331" t="s">
        <v>148</v>
      </c>
      <c r="C16" s="955" t="s">
        <v>149</v>
      </c>
      <c r="D16" s="955"/>
      <c r="E16" s="955"/>
      <c r="F16" s="955"/>
      <c r="G16" s="332">
        <v>0</v>
      </c>
      <c r="H16" s="333">
        <v>0</v>
      </c>
    </row>
    <row r="17" spans="2:8" ht="15">
      <c r="B17" s="331" t="s">
        <v>150</v>
      </c>
      <c r="C17" s="955" t="s">
        <v>151</v>
      </c>
      <c r="D17" s="955"/>
      <c r="E17" s="955"/>
      <c r="F17" s="955"/>
      <c r="G17" s="332">
        <v>1.5</v>
      </c>
      <c r="H17" s="333">
        <v>1.5</v>
      </c>
    </row>
    <row r="18" spans="2:8" ht="15">
      <c r="B18" s="331" t="s">
        <v>152</v>
      </c>
      <c r="C18" s="955" t="s">
        <v>153</v>
      </c>
      <c r="D18" s="955"/>
      <c r="E18" s="955"/>
      <c r="F18" s="955"/>
      <c r="G18" s="332">
        <v>1</v>
      </c>
      <c r="H18" s="333">
        <v>1</v>
      </c>
    </row>
    <row r="19" spans="2:8" ht="15">
      <c r="B19" s="331" t="s">
        <v>154</v>
      </c>
      <c r="C19" s="955" t="s">
        <v>155</v>
      </c>
      <c r="D19" s="955"/>
      <c r="E19" s="955"/>
      <c r="F19" s="955"/>
      <c r="G19" s="332">
        <v>0.2</v>
      </c>
      <c r="H19" s="333">
        <v>0.2</v>
      </c>
    </row>
    <row r="20" spans="2:8" ht="15">
      <c r="B20" s="331" t="s">
        <v>156</v>
      </c>
      <c r="C20" s="955" t="s">
        <v>157</v>
      </c>
      <c r="D20" s="955"/>
      <c r="E20" s="955"/>
      <c r="F20" s="955"/>
      <c r="G20" s="332">
        <v>0.6</v>
      </c>
      <c r="H20" s="333">
        <v>0.6</v>
      </c>
    </row>
    <row r="21" spans="2:8" ht="15">
      <c r="B21" s="331" t="s">
        <v>158</v>
      </c>
      <c r="C21" s="955" t="s">
        <v>159</v>
      </c>
      <c r="D21" s="955"/>
      <c r="E21" s="955"/>
      <c r="F21" s="955"/>
      <c r="G21" s="332">
        <v>2.5</v>
      </c>
      <c r="H21" s="333">
        <v>2.5</v>
      </c>
    </row>
    <row r="22" spans="2:8" ht="15">
      <c r="B22" s="331" t="s">
        <v>160</v>
      </c>
      <c r="C22" s="955" t="s">
        <v>161</v>
      </c>
      <c r="D22" s="955"/>
      <c r="E22" s="955"/>
      <c r="F22" s="955"/>
      <c r="G22" s="332">
        <v>3</v>
      </c>
      <c r="H22" s="333">
        <v>3</v>
      </c>
    </row>
    <row r="23" spans="2:8" ht="15">
      <c r="B23" s="331" t="s">
        <v>162</v>
      </c>
      <c r="C23" s="955" t="s">
        <v>163</v>
      </c>
      <c r="D23" s="955"/>
      <c r="E23" s="955"/>
      <c r="F23" s="955"/>
      <c r="G23" s="332">
        <v>8</v>
      </c>
      <c r="H23" s="333">
        <v>8</v>
      </c>
    </row>
    <row r="24" spans="2:8" ht="15.75" thickBot="1">
      <c r="B24" s="334" t="s">
        <v>164</v>
      </c>
      <c r="C24" s="956" t="s">
        <v>165</v>
      </c>
      <c r="D24" s="956"/>
      <c r="E24" s="956"/>
      <c r="F24" s="956"/>
      <c r="G24" s="335">
        <v>0</v>
      </c>
      <c r="H24" s="336">
        <v>0</v>
      </c>
    </row>
    <row r="25" spans="2:8" ht="15.75" thickBot="1">
      <c r="B25" s="337" t="s">
        <v>166</v>
      </c>
      <c r="C25" s="957" t="s">
        <v>167</v>
      </c>
      <c r="D25" s="957"/>
      <c r="E25" s="957"/>
      <c r="F25" s="957"/>
      <c r="G25" s="338">
        <f>SUM(G16:G24)</f>
        <v>16.8</v>
      </c>
      <c r="H25" s="339">
        <f>SUM(H16:H24)</f>
        <v>16.8</v>
      </c>
    </row>
    <row r="26" spans="2:8" ht="9" customHeight="1" thickBot="1">
      <c r="B26" s="958"/>
      <c r="C26" s="959"/>
      <c r="D26" s="959"/>
      <c r="E26" s="959"/>
      <c r="F26" s="959"/>
      <c r="G26" s="959"/>
      <c r="H26" s="960"/>
    </row>
    <row r="27" spans="2:8" ht="15">
      <c r="B27" s="952" t="s">
        <v>168</v>
      </c>
      <c r="C27" s="953"/>
      <c r="D27" s="953"/>
      <c r="E27" s="953"/>
      <c r="F27" s="953"/>
      <c r="G27" s="953"/>
      <c r="H27" s="954"/>
    </row>
    <row r="28" spans="2:8" ht="15">
      <c r="B28" s="331" t="s">
        <v>169</v>
      </c>
      <c r="C28" s="955" t="s">
        <v>170</v>
      </c>
      <c r="D28" s="955"/>
      <c r="E28" s="955"/>
      <c r="F28" s="955"/>
      <c r="G28" s="332">
        <v>17.84</v>
      </c>
      <c r="H28" s="333">
        <v>0</v>
      </c>
    </row>
    <row r="29" spans="2:8" ht="15">
      <c r="B29" s="331" t="s">
        <v>171</v>
      </c>
      <c r="C29" s="955" t="s">
        <v>172</v>
      </c>
      <c r="D29" s="955"/>
      <c r="E29" s="955"/>
      <c r="F29" s="955"/>
      <c r="G29" s="332">
        <v>3.95</v>
      </c>
      <c r="H29" s="333">
        <v>0</v>
      </c>
    </row>
    <row r="30" spans="2:8" ht="15">
      <c r="B30" s="331" t="s">
        <v>173</v>
      </c>
      <c r="C30" s="955" t="s">
        <v>174</v>
      </c>
      <c r="D30" s="955"/>
      <c r="E30" s="955"/>
      <c r="F30" s="955"/>
      <c r="G30" s="332">
        <v>0.92</v>
      </c>
      <c r="H30" s="333">
        <v>0.69</v>
      </c>
    </row>
    <row r="31" spans="2:8" ht="15">
      <c r="B31" s="331" t="s">
        <v>175</v>
      </c>
      <c r="C31" s="955" t="s">
        <v>176</v>
      </c>
      <c r="D31" s="955"/>
      <c r="E31" s="955"/>
      <c r="F31" s="955"/>
      <c r="G31" s="340">
        <v>11.02</v>
      </c>
      <c r="H31" s="341">
        <v>8.33</v>
      </c>
    </row>
    <row r="32" spans="2:8" ht="15">
      <c r="B32" s="331" t="s">
        <v>177</v>
      </c>
      <c r="C32" s="955" t="s">
        <v>178</v>
      </c>
      <c r="D32" s="955"/>
      <c r="E32" s="955"/>
      <c r="F32" s="955"/>
      <c r="G32" s="332">
        <v>0.08</v>
      </c>
      <c r="H32" s="333">
        <v>0.06</v>
      </c>
    </row>
    <row r="33" spans="2:8" ht="15">
      <c r="B33" s="331" t="s">
        <v>179</v>
      </c>
      <c r="C33" s="961" t="s">
        <v>180</v>
      </c>
      <c r="D33" s="962"/>
      <c r="E33" s="962"/>
      <c r="F33" s="963"/>
      <c r="G33" s="332">
        <v>0.73</v>
      </c>
      <c r="H33" s="333">
        <v>0.56</v>
      </c>
    </row>
    <row r="34" spans="2:8" ht="15">
      <c r="B34" s="331" t="s">
        <v>181</v>
      </c>
      <c r="C34" s="961" t="s">
        <v>182</v>
      </c>
      <c r="D34" s="962"/>
      <c r="E34" s="962"/>
      <c r="F34" s="963"/>
      <c r="G34" s="332">
        <v>1.2</v>
      </c>
      <c r="H34" s="333">
        <v>0</v>
      </c>
    </row>
    <row r="35" spans="2:8" ht="15">
      <c r="B35" s="331" t="s">
        <v>183</v>
      </c>
      <c r="C35" s="961" t="s">
        <v>184</v>
      </c>
      <c r="D35" s="962"/>
      <c r="E35" s="962"/>
      <c r="F35" s="963"/>
      <c r="G35" s="332">
        <v>0.12</v>
      </c>
      <c r="H35" s="333">
        <v>0.09</v>
      </c>
    </row>
    <row r="36" spans="2:8" ht="15">
      <c r="B36" s="331" t="s">
        <v>185</v>
      </c>
      <c r="C36" s="955" t="s">
        <v>186</v>
      </c>
      <c r="D36" s="955"/>
      <c r="E36" s="955"/>
      <c r="F36" s="955"/>
      <c r="G36" s="332">
        <v>12.43</v>
      </c>
      <c r="H36" s="333">
        <v>9.39</v>
      </c>
    </row>
    <row r="37" spans="2:8" ht="15">
      <c r="B37" s="331" t="s">
        <v>187</v>
      </c>
      <c r="C37" s="955" t="s">
        <v>188</v>
      </c>
      <c r="D37" s="955"/>
      <c r="E37" s="955"/>
      <c r="F37" s="955"/>
      <c r="G37" s="332">
        <v>0.03</v>
      </c>
      <c r="H37" s="333">
        <v>0.02</v>
      </c>
    </row>
    <row r="38" spans="2:8" ht="15.75" thickBot="1">
      <c r="B38" s="342" t="s">
        <v>189</v>
      </c>
      <c r="C38" s="964" t="s">
        <v>190</v>
      </c>
      <c r="D38" s="964"/>
      <c r="E38" s="964"/>
      <c r="F38" s="964"/>
      <c r="G38" s="343">
        <f>SUM(G28:G37)</f>
        <v>48.32</v>
      </c>
      <c r="H38" s="344">
        <f>SUM(H28:H37)</f>
        <v>19.14</v>
      </c>
    </row>
    <row r="39" spans="2:8" ht="9.75" customHeight="1" thickBot="1">
      <c r="B39" s="958"/>
      <c r="C39" s="959"/>
      <c r="D39" s="959"/>
      <c r="E39" s="959"/>
      <c r="F39" s="959"/>
      <c r="G39" s="959"/>
      <c r="H39" s="960"/>
    </row>
    <row r="40" spans="2:8" ht="15">
      <c r="B40" s="952" t="s">
        <v>191</v>
      </c>
      <c r="C40" s="953"/>
      <c r="D40" s="953"/>
      <c r="E40" s="953"/>
      <c r="F40" s="953"/>
      <c r="G40" s="953"/>
      <c r="H40" s="954"/>
    </row>
    <row r="41" spans="2:8" ht="15">
      <c r="B41" s="331" t="s">
        <v>192</v>
      </c>
      <c r="C41" s="955" t="s">
        <v>193</v>
      </c>
      <c r="D41" s="955"/>
      <c r="E41" s="955"/>
      <c r="F41" s="955"/>
      <c r="G41" s="332">
        <v>7.73</v>
      </c>
      <c r="H41" s="333">
        <v>5.85</v>
      </c>
    </row>
    <row r="42" spans="2:8" ht="15">
      <c r="B42" s="331" t="s">
        <v>194</v>
      </c>
      <c r="C42" s="955" t="s">
        <v>195</v>
      </c>
      <c r="D42" s="955"/>
      <c r="E42" s="955"/>
      <c r="F42" s="955"/>
      <c r="G42" s="332">
        <v>0.42</v>
      </c>
      <c r="H42" s="333">
        <v>0.32</v>
      </c>
    </row>
    <row r="43" spans="2:8" ht="15">
      <c r="B43" s="331" t="s">
        <v>196</v>
      </c>
      <c r="C43" s="955" t="s">
        <v>197</v>
      </c>
      <c r="D43" s="955"/>
      <c r="E43" s="955"/>
      <c r="F43" s="955"/>
      <c r="G43" s="332">
        <v>1.74</v>
      </c>
      <c r="H43" s="333">
        <v>1.31</v>
      </c>
    </row>
    <row r="44" spans="2:8" ht="15">
      <c r="B44" s="331" t="s">
        <v>198</v>
      </c>
      <c r="C44" s="955" t="s">
        <v>199</v>
      </c>
      <c r="D44" s="955"/>
      <c r="E44" s="955"/>
      <c r="F44" s="955"/>
      <c r="G44" s="332">
        <v>4.99</v>
      </c>
      <c r="H44" s="333">
        <v>3.78</v>
      </c>
    </row>
    <row r="45" spans="2:8" ht="15">
      <c r="B45" s="331" t="s">
        <v>200</v>
      </c>
      <c r="C45" s="955" t="s">
        <v>201</v>
      </c>
      <c r="D45" s="955"/>
      <c r="E45" s="955"/>
      <c r="F45" s="955"/>
      <c r="G45" s="332">
        <v>0.65</v>
      </c>
      <c r="H45" s="333">
        <v>0.49</v>
      </c>
    </row>
    <row r="46" spans="2:8" ht="27.75" customHeight="1" thickBot="1">
      <c r="B46" s="342" t="s">
        <v>202</v>
      </c>
      <c r="C46" s="965" t="s">
        <v>203</v>
      </c>
      <c r="D46" s="966"/>
      <c r="E46" s="966"/>
      <c r="F46" s="967"/>
      <c r="G46" s="343">
        <f>SUM(G41:G45)</f>
        <v>15.530000000000001</v>
      </c>
      <c r="H46" s="344">
        <f>SUM(H41:H45)</f>
        <v>11.75</v>
      </c>
    </row>
    <row r="47" spans="2:8" ht="10.5" customHeight="1" thickBot="1">
      <c r="B47" s="958"/>
      <c r="C47" s="959"/>
      <c r="D47" s="959"/>
      <c r="E47" s="959"/>
      <c r="F47" s="959"/>
      <c r="G47" s="959"/>
      <c r="H47" s="960"/>
    </row>
    <row r="48" spans="2:8" ht="15">
      <c r="B48" s="952" t="s">
        <v>204</v>
      </c>
      <c r="C48" s="953"/>
      <c r="D48" s="953"/>
      <c r="E48" s="953"/>
      <c r="F48" s="953"/>
      <c r="G48" s="953"/>
      <c r="H48" s="954"/>
    </row>
    <row r="49" spans="2:8" ht="15">
      <c r="B49" s="331" t="s">
        <v>205</v>
      </c>
      <c r="C49" s="955" t="s">
        <v>206</v>
      </c>
      <c r="D49" s="955"/>
      <c r="E49" s="955"/>
      <c r="F49" s="955"/>
      <c r="G49" s="332">
        <v>8.12</v>
      </c>
      <c r="H49" s="333">
        <v>3.22</v>
      </c>
    </row>
    <row r="50" spans="2:8" ht="26.25" customHeight="1">
      <c r="B50" s="331" t="s">
        <v>207</v>
      </c>
      <c r="C50" s="968" t="s">
        <v>208</v>
      </c>
      <c r="D50" s="969"/>
      <c r="E50" s="969"/>
      <c r="F50" s="970"/>
      <c r="G50" s="332">
        <v>0.69</v>
      </c>
      <c r="H50" s="333">
        <v>0.52</v>
      </c>
    </row>
    <row r="51" spans="2:8" ht="15.75" thickBot="1">
      <c r="B51" s="342" t="s">
        <v>209</v>
      </c>
      <c r="C51" s="965" t="s">
        <v>210</v>
      </c>
      <c r="D51" s="966"/>
      <c r="E51" s="966"/>
      <c r="F51" s="967"/>
      <c r="G51" s="343">
        <f>SUM(G49:G50)</f>
        <v>8.809999999999999</v>
      </c>
      <c r="H51" s="344">
        <f>SUM(H49:H50)</f>
        <v>3.74</v>
      </c>
    </row>
    <row r="52" spans="2:8" ht="15">
      <c r="B52" s="971"/>
      <c r="C52" s="972"/>
      <c r="D52" s="972"/>
      <c r="E52" s="972"/>
      <c r="F52" s="972"/>
      <c r="G52" s="972"/>
      <c r="H52" s="973"/>
    </row>
    <row r="53" spans="2:8" ht="15">
      <c r="B53" s="974" t="s">
        <v>211</v>
      </c>
      <c r="C53" s="975"/>
      <c r="D53" s="975"/>
      <c r="E53" s="975"/>
      <c r="F53" s="975"/>
      <c r="G53" s="495">
        <f>SUM(G51+G46+G38+G25)</f>
        <v>89.46</v>
      </c>
      <c r="H53" s="496">
        <f>SUM(H51+H46+H38+H25)</f>
        <v>51.43000000000001</v>
      </c>
    </row>
    <row r="54" spans="2:8" ht="12.75" customHeight="1" thickBot="1">
      <c r="B54" s="976"/>
      <c r="C54" s="977"/>
      <c r="D54" s="977"/>
      <c r="E54" s="977"/>
      <c r="F54" s="977"/>
      <c r="G54" s="977"/>
      <c r="H54" s="978"/>
    </row>
  </sheetData>
  <sheetProtection/>
  <mergeCells count="49">
    <mergeCell ref="F9:H9"/>
    <mergeCell ref="F10:H10"/>
    <mergeCell ref="B9:E9"/>
    <mergeCell ref="B10:E10"/>
    <mergeCell ref="D2:H3"/>
    <mergeCell ref="D4:H5"/>
    <mergeCell ref="D6:H7"/>
    <mergeCell ref="C49:F49"/>
    <mergeCell ref="C50:F50"/>
    <mergeCell ref="C51:F51"/>
    <mergeCell ref="B52:H52"/>
    <mergeCell ref="B53:F53"/>
    <mergeCell ref="B54:H54"/>
    <mergeCell ref="C43:F43"/>
    <mergeCell ref="C44:F44"/>
    <mergeCell ref="C45:F45"/>
    <mergeCell ref="C46:F46"/>
    <mergeCell ref="B47:H47"/>
    <mergeCell ref="B48:H48"/>
    <mergeCell ref="C37:F37"/>
    <mergeCell ref="C38:F38"/>
    <mergeCell ref="B39:H39"/>
    <mergeCell ref="B40:H40"/>
    <mergeCell ref="C41:F41"/>
    <mergeCell ref="C42:F42"/>
    <mergeCell ref="C31:F31"/>
    <mergeCell ref="C32:F32"/>
    <mergeCell ref="C33:F33"/>
    <mergeCell ref="C34:F34"/>
    <mergeCell ref="C35:F35"/>
    <mergeCell ref="C36:F36"/>
    <mergeCell ref="C25:F25"/>
    <mergeCell ref="B26:H26"/>
    <mergeCell ref="B27:H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B12:H12"/>
    <mergeCell ref="C14:F14"/>
    <mergeCell ref="B15:H15"/>
    <mergeCell ref="C16:F16"/>
    <mergeCell ref="C17:F17"/>
    <mergeCell ref="C18:F18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NIS ENGENHARIA2</cp:lastModifiedBy>
  <cp:lastPrinted>2015-04-24T13:57:28Z</cp:lastPrinted>
  <dcterms:created xsi:type="dcterms:W3CDTF">2008-07-14T14:43:26Z</dcterms:created>
  <dcterms:modified xsi:type="dcterms:W3CDTF">2015-04-24T14:03:39Z</dcterms:modified>
  <cp:category/>
  <cp:version/>
  <cp:contentType/>
  <cp:contentStatus/>
</cp:coreProperties>
</file>